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4"/>
  </bookViews>
  <sheets>
    <sheet name="CountIfDropDownM" sheetId="1" r:id="rId1"/>
    <sheet name="VLOOKUP" sheetId="2" r:id="rId2"/>
    <sheet name="LRFD-VLOOKUP" sheetId="3" r:id="rId3"/>
    <sheet name="DateTimeOthers" sheetId="4" r:id="rId4"/>
    <sheet name="Sort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H6" i="4"/>
  <c r="H4"/>
  <c r="J13" i="1"/>
  <c r="K13"/>
  <c r="E35" i="2"/>
  <c r="E36"/>
  <c r="E37"/>
  <c r="E38"/>
  <c r="E39"/>
  <c r="E40"/>
  <c r="E41"/>
  <c r="E42"/>
  <c r="E43"/>
  <c r="E44"/>
  <c r="E45"/>
  <c r="E46"/>
  <c r="E47"/>
  <c r="E48"/>
  <c r="E49"/>
  <c r="E50"/>
  <c r="E51"/>
  <c r="U774" i="3"/>
  <c r="BE376"/>
  <c r="BC376"/>
  <c r="BD376" s="1"/>
  <c r="BB376"/>
  <c r="AW376"/>
  <c r="AZ376" s="1"/>
  <c r="AU376"/>
  <c r="AT376"/>
  <c r="AS376"/>
  <c r="AR376"/>
  <c r="AQ376"/>
  <c r="Y376"/>
  <c r="X376"/>
  <c r="BE375"/>
  <c r="BD375"/>
  <c r="BC375"/>
  <c r="BB375"/>
  <c r="AU375"/>
  <c r="AT375"/>
  <c r="AR375"/>
  <c r="AQ375"/>
  <c r="Y375"/>
  <c r="AW375" s="1"/>
  <c r="AZ375" s="1"/>
  <c r="X375"/>
  <c r="BE374"/>
  <c r="BC374"/>
  <c r="BD374" s="1"/>
  <c r="BB374"/>
  <c r="AU374"/>
  <c r="AT374"/>
  <c r="AR374"/>
  <c r="Y374" s="1"/>
  <c r="AQ374"/>
  <c r="X374"/>
  <c r="BE373"/>
  <c r="BD373"/>
  <c r="BC373"/>
  <c r="BB373"/>
  <c r="AU373"/>
  <c r="AT373"/>
  <c r="AR373"/>
  <c r="Y373" s="1"/>
  <c r="AQ373"/>
  <c r="X373"/>
  <c r="BE372"/>
  <c r="BC372"/>
  <c r="BD372" s="1"/>
  <c r="BB372"/>
  <c r="AW372"/>
  <c r="AZ372" s="1"/>
  <c r="AU372"/>
  <c r="AT372"/>
  <c r="AV372" s="1"/>
  <c r="AY372" s="1"/>
  <c r="AS372"/>
  <c r="AR372"/>
  <c r="AQ372"/>
  <c r="AX372" s="1"/>
  <c r="Y372"/>
  <c r="X372"/>
  <c r="BE371"/>
  <c r="BD371"/>
  <c r="BC371"/>
  <c r="BB371"/>
  <c r="AU371"/>
  <c r="AT371"/>
  <c r="AR371"/>
  <c r="AQ371"/>
  <c r="Y371"/>
  <c r="AW371" s="1"/>
  <c r="AZ371" s="1"/>
  <c r="X371"/>
  <c r="BE370"/>
  <c r="BC370"/>
  <c r="BD370" s="1"/>
  <c r="BB370"/>
  <c r="AU370"/>
  <c r="AT370"/>
  <c r="AR370"/>
  <c r="Y370" s="1"/>
  <c r="AQ370"/>
  <c r="X370"/>
  <c r="BE369"/>
  <c r="BD369"/>
  <c r="BC369"/>
  <c r="BB369"/>
  <c r="AU369"/>
  <c r="AT369"/>
  <c r="AR369"/>
  <c r="Y369" s="1"/>
  <c r="AQ369"/>
  <c r="X369"/>
  <c r="BE368"/>
  <c r="BC368"/>
  <c r="BD368" s="1"/>
  <c r="BB368"/>
  <c r="AW368"/>
  <c r="AZ368" s="1"/>
  <c r="AU368"/>
  <c r="AT368"/>
  <c r="AV368" s="1"/>
  <c r="AY368" s="1"/>
  <c r="AS368"/>
  <c r="AR368"/>
  <c r="AQ368"/>
  <c r="Y368"/>
  <c r="X368"/>
  <c r="BE367"/>
  <c r="BD367"/>
  <c r="BC367"/>
  <c r="BB367"/>
  <c r="AU367"/>
  <c r="AT367"/>
  <c r="AR367"/>
  <c r="AQ367"/>
  <c r="Y367"/>
  <c r="AW367" s="1"/>
  <c r="AZ367" s="1"/>
  <c r="X367"/>
  <c r="BE366"/>
  <c r="BC366"/>
  <c r="BD366" s="1"/>
  <c r="BB366"/>
  <c r="AU366"/>
  <c r="AT366"/>
  <c r="AR366"/>
  <c r="Y366" s="1"/>
  <c r="AQ366"/>
  <c r="X366"/>
  <c r="BE365"/>
  <c r="BD365"/>
  <c r="BC365"/>
  <c r="BB365"/>
  <c r="AU365"/>
  <c r="AT365"/>
  <c r="AR365"/>
  <c r="Y365" s="1"/>
  <c r="AQ365"/>
  <c r="X365"/>
  <c r="BE364"/>
  <c r="BC364"/>
  <c r="BD364" s="1"/>
  <c r="BB364"/>
  <c r="AW364"/>
  <c r="AZ364" s="1"/>
  <c r="AU364"/>
  <c r="AT364"/>
  <c r="AV364" s="1"/>
  <c r="AY364" s="1"/>
  <c r="AS364"/>
  <c r="AR364"/>
  <c r="AQ364"/>
  <c r="AX364" s="1"/>
  <c r="Y364"/>
  <c r="X364"/>
  <c r="BE363"/>
  <c r="BD363"/>
  <c r="BC363"/>
  <c r="BB363"/>
  <c r="AU363"/>
  <c r="AT363"/>
  <c r="AR363"/>
  <c r="AQ363"/>
  <c r="Y363"/>
  <c r="AW363" s="1"/>
  <c r="AZ363" s="1"/>
  <c r="X363"/>
  <c r="BE362"/>
  <c r="BC362"/>
  <c r="BD362" s="1"/>
  <c r="BB362"/>
  <c r="AU362"/>
  <c r="AT362"/>
  <c r="AR362"/>
  <c r="Y362" s="1"/>
  <c r="AQ362"/>
  <c r="X362"/>
  <c r="BE361"/>
  <c r="BD361"/>
  <c r="BC361"/>
  <c r="BB361"/>
  <c r="AU361"/>
  <c r="AT361"/>
  <c r="AR361"/>
  <c r="Y361" s="1"/>
  <c r="AQ361"/>
  <c r="X361"/>
  <c r="BE360"/>
  <c r="BC360"/>
  <c r="BD360" s="1"/>
  <c r="BB360"/>
  <c r="AW360"/>
  <c r="AZ360" s="1"/>
  <c r="AU360"/>
  <c r="AT360"/>
  <c r="AV360" s="1"/>
  <c r="AY360" s="1"/>
  <c r="AS360"/>
  <c r="AR360"/>
  <c r="AQ360"/>
  <c r="Y360"/>
  <c r="X360"/>
  <c r="BE359"/>
  <c r="BD359"/>
  <c r="BC359"/>
  <c r="BB359"/>
  <c r="AU359"/>
  <c r="AT359"/>
  <c r="AR359"/>
  <c r="AQ359"/>
  <c r="Y359"/>
  <c r="AW359" s="1"/>
  <c r="AZ359" s="1"/>
  <c r="X359"/>
  <c r="BE358"/>
  <c r="BC358"/>
  <c r="BD358" s="1"/>
  <c r="BB358"/>
  <c r="AW358"/>
  <c r="AZ358" s="1"/>
  <c r="AU358"/>
  <c r="AT358"/>
  <c r="AV358" s="1"/>
  <c r="AY358" s="1"/>
  <c r="AS358"/>
  <c r="AR358"/>
  <c r="AQ358"/>
  <c r="AX358" s="1"/>
  <c r="Y358"/>
  <c r="X358"/>
  <c r="BE357"/>
  <c r="BD357"/>
  <c r="BC357"/>
  <c r="BB357"/>
  <c r="AU357"/>
  <c r="AT357"/>
  <c r="AR357"/>
  <c r="Y357" s="1"/>
  <c r="AQ357"/>
  <c r="X357"/>
  <c r="BE356"/>
  <c r="BC356"/>
  <c r="BD356" s="1"/>
  <c r="BB356"/>
  <c r="AW356"/>
  <c r="AZ356" s="1"/>
  <c r="AU356"/>
  <c r="AT356"/>
  <c r="AV356" s="1"/>
  <c r="AY356" s="1"/>
  <c r="AS356"/>
  <c r="AR356"/>
  <c r="AQ356"/>
  <c r="AX356" s="1"/>
  <c r="Y356"/>
  <c r="X356"/>
  <c r="BE355"/>
  <c r="BD355"/>
  <c r="BC355"/>
  <c r="BB355"/>
  <c r="AU355"/>
  <c r="AT355"/>
  <c r="AR355"/>
  <c r="AQ355"/>
  <c r="Y355"/>
  <c r="AW355" s="1"/>
  <c r="AZ355" s="1"/>
  <c r="X355"/>
  <c r="BE354"/>
  <c r="BC354"/>
  <c r="BD354" s="1"/>
  <c r="BB354"/>
  <c r="AW354"/>
  <c r="AZ354" s="1"/>
  <c r="AU354"/>
  <c r="AT354"/>
  <c r="AV354" s="1"/>
  <c r="AY354" s="1"/>
  <c r="AS354"/>
  <c r="AR354"/>
  <c r="AQ354"/>
  <c r="AX354" s="1"/>
  <c r="Y354"/>
  <c r="X354"/>
  <c r="BE353"/>
  <c r="BD353"/>
  <c r="BC353"/>
  <c r="BB353"/>
  <c r="AU353"/>
  <c r="AT353"/>
  <c r="AR353"/>
  <c r="Y353" s="1"/>
  <c r="AQ353"/>
  <c r="X353"/>
  <c r="BE352"/>
  <c r="BC352"/>
  <c r="BD352" s="1"/>
  <c r="BB352"/>
  <c r="AW352"/>
  <c r="AZ352" s="1"/>
  <c r="AU352"/>
  <c r="AT352"/>
  <c r="AV352" s="1"/>
  <c r="AY352" s="1"/>
  <c r="AS352"/>
  <c r="AR352"/>
  <c r="AQ352"/>
  <c r="AX352" s="1"/>
  <c r="Y352"/>
  <c r="X352"/>
  <c r="BE351"/>
  <c r="BD351"/>
  <c r="BC351"/>
  <c r="BB351"/>
  <c r="AU351"/>
  <c r="AT351"/>
  <c r="AR351"/>
  <c r="AQ351"/>
  <c r="Y351"/>
  <c r="AW351" s="1"/>
  <c r="AZ351" s="1"/>
  <c r="X351"/>
  <c r="BE350"/>
  <c r="BC350"/>
  <c r="BD350" s="1"/>
  <c r="BB350"/>
  <c r="AW350"/>
  <c r="AZ350" s="1"/>
  <c r="AU350"/>
  <c r="AT350"/>
  <c r="AV350" s="1"/>
  <c r="AY350" s="1"/>
  <c r="AS350"/>
  <c r="AR350"/>
  <c r="AQ350"/>
  <c r="AX350" s="1"/>
  <c r="Y350"/>
  <c r="X350"/>
  <c r="BE349"/>
  <c r="BD349"/>
  <c r="BC349"/>
  <c r="BB349"/>
  <c r="AU349"/>
  <c r="AT349"/>
  <c r="AR349"/>
  <c r="Y349" s="1"/>
  <c r="AQ349"/>
  <c r="X349"/>
  <c r="BE348"/>
  <c r="BC348"/>
  <c r="BD348" s="1"/>
  <c r="BB348"/>
  <c r="AW348"/>
  <c r="AZ348" s="1"/>
  <c r="AU348"/>
  <c r="AT348"/>
  <c r="AV348" s="1"/>
  <c r="AY348" s="1"/>
  <c r="AS348"/>
  <c r="AR348"/>
  <c r="AQ348"/>
  <c r="AX348" s="1"/>
  <c r="Y348"/>
  <c r="X348"/>
  <c r="BE347"/>
  <c r="BD347"/>
  <c r="BC347"/>
  <c r="BB347"/>
  <c r="AU347"/>
  <c r="AT347"/>
  <c r="AR347"/>
  <c r="AQ347"/>
  <c r="Y347"/>
  <c r="AW347" s="1"/>
  <c r="AZ347" s="1"/>
  <c r="X347"/>
  <c r="BE346"/>
  <c r="BC346"/>
  <c r="BD346" s="1"/>
  <c r="BB346"/>
  <c r="AW346"/>
  <c r="AZ346" s="1"/>
  <c r="AU346"/>
  <c r="AT346"/>
  <c r="AV346" s="1"/>
  <c r="AY346" s="1"/>
  <c r="AS346"/>
  <c r="AR346"/>
  <c r="AQ346"/>
  <c r="Y346"/>
  <c r="X346"/>
  <c r="BE345"/>
  <c r="BD345"/>
  <c r="BC345"/>
  <c r="BB345"/>
  <c r="AU345"/>
  <c r="AT345"/>
  <c r="AR345"/>
  <c r="Y345" s="1"/>
  <c r="AQ345"/>
  <c r="X345"/>
  <c r="BE344"/>
  <c r="BC344"/>
  <c r="BD344" s="1"/>
  <c r="BB344"/>
  <c r="AU344"/>
  <c r="AT344"/>
  <c r="AR344"/>
  <c r="Y344" s="1"/>
  <c r="AQ344"/>
  <c r="X344"/>
  <c r="BE343"/>
  <c r="BD343"/>
  <c r="BC343"/>
  <c r="BB343"/>
  <c r="AU343"/>
  <c r="AT343"/>
  <c r="AR343"/>
  <c r="AQ343"/>
  <c r="Y343"/>
  <c r="AW343" s="1"/>
  <c r="AZ343" s="1"/>
  <c r="X343"/>
  <c r="BE342"/>
  <c r="BC342"/>
  <c r="BD342" s="1"/>
  <c r="BB342"/>
  <c r="AW342"/>
  <c r="AZ342" s="1"/>
  <c r="AU342"/>
  <c r="AT342"/>
  <c r="AV342" s="1"/>
  <c r="AY342" s="1"/>
  <c r="AS342"/>
  <c r="AR342"/>
  <c r="AQ342"/>
  <c r="AX342" s="1"/>
  <c r="Y342"/>
  <c r="X342"/>
  <c r="BE341"/>
  <c r="BD341"/>
  <c r="BC341"/>
  <c r="BB341"/>
  <c r="AU341"/>
  <c r="AT341"/>
  <c r="AR341"/>
  <c r="Y341" s="1"/>
  <c r="AQ341"/>
  <c r="X341"/>
  <c r="BE340"/>
  <c r="BC340"/>
  <c r="BD340" s="1"/>
  <c r="BB340"/>
  <c r="AW340"/>
  <c r="AZ340" s="1"/>
  <c r="AU340"/>
  <c r="AT340"/>
  <c r="AV340" s="1"/>
  <c r="AY340" s="1"/>
  <c r="AS340"/>
  <c r="AR340"/>
  <c r="AQ340"/>
  <c r="AX340" s="1"/>
  <c r="Y340"/>
  <c r="X340"/>
  <c r="BE339"/>
  <c r="BD339"/>
  <c r="BC339"/>
  <c r="BB339"/>
  <c r="AU339"/>
  <c r="AT339"/>
  <c r="AR339"/>
  <c r="AQ339"/>
  <c r="Y339"/>
  <c r="AW339" s="1"/>
  <c r="AZ339" s="1"/>
  <c r="X339"/>
  <c r="BE338"/>
  <c r="BC338"/>
  <c r="BD338" s="1"/>
  <c r="BB338"/>
  <c r="AW338"/>
  <c r="AZ338" s="1"/>
  <c r="AU338"/>
  <c r="AT338"/>
  <c r="AV338" s="1"/>
  <c r="AY338" s="1"/>
  <c r="AS338"/>
  <c r="AR338"/>
  <c r="AQ338"/>
  <c r="AX338" s="1"/>
  <c r="Y338"/>
  <c r="X338"/>
  <c r="BE337"/>
  <c r="BD337"/>
  <c r="BC337"/>
  <c r="BB337"/>
  <c r="AU337"/>
  <c r="AT337"/>
  <c r="AR337"/>
  <c r="Y337" s="1"/>
  <c r="AQ337"/>
  <c r="X337"/>
  <c r="BE336"/>
  <c r="BC336"/>
  <c r="BD336" s="1"/>
  <c r="BB336"/>
  <c r="AU336"/>
  <c r="AT336"/>
  <c r="AR336"/>
  <c r="Y336" s="1"/>
  <c r="AQ336"/>
  <c r="X336"/>
  <c r="BE335"/>
  <c r="BD335"/>
  <c r="BC335"/>
  <c r="BB335"/>
  <c r="AU335"/>
  <c r="AT335"/>
  <c r="AR335"/>
  <c r="AQ335"/>
  <c r="Y335"/>
  <c r="AW335" s="1"/>
  <c r="AZ335" s="1"/>
  <c r="X335"/>
  <c r="BE334"/>
  <c r="BC334"/>
  <c r="BD334" s="1"/>
  <c r="BB334"/>
  <c r="AU334"/>
  <c r="AT334"/>
  <c r="AR334"/>
  <c r="Y334" s="1"/>
  <c r="AQ334"/>
  <c r="X334"/>
  <c r="BE333"/>
  <c r="BD333"/>
  <c r="BC333"/>
  <c r="BB333"/>
  <c r="AU333"/>
  <c r="AT333"/>
  <c r="AR333"/>
  <c r="Y333" s="1"/>
  <c r="AQ333"/>
  <c r="X333"/>
  <c r="BE332"/>
  <c r="BC332"/>
  <c r="BD332" s="1"/>
  <c r="BB332"/>
  <c r="AW332"/>
  <c r="AZ332" s="1"/>
  <c r="AU332"/>
  <c r="AT332"/>
  <c r="AV332" s="1"/>
  <c r="AY332" s="1"/>
  <c r="AS332"/>
  <c r="AR332"/>
  <c r="AQ332"/>
  <c r="AX332" s="1"/>
  <c r="Y332"/>
  <c r="X332"/>
  <c r="BE331"/>
  <c r="BD331"/>
  <c r="BC331"/>
  <c r="BB331"/>
  <c r="AU331"/>
  <c r="AT331"/>
  <c r="AR331"/>
  <c r="AQ331"/>
  <c r="Y331"/>
  <c r="AW331" s="1"/>
  <c r="AZ331" s="1"/>
  <c r="X331"/>
  <c r="BE330"/>
  <c r="BC330"/>
  <c r="BD330" s="1"/>
  <c r="BB330"/>
  <c r="AU330"/>
  <c r="AT330"/>
  <c r="AR330"/>
  <c r="Y330" s="1"/>
  <c r="AQ330"/>
  <c r="X330"/>
  <c r="BE329"/>
  <c r="BD329"/>
  <c r="BC329"/>
  <c r="BB329"/>
  <c r="AU329"/>
  <c r="AT329"/>
  <c r="AR329"/>
  <c r="Y329" s="1"/>
  <c r="AQ329"/>
  <c r="X329"/>
  <c r="BE328"/>
  <c r="BC328"/>
  <c r="BD328" s="1"/>
  <c r="BB328"/>
  <c r="AW328"/>
  <c r="AZ328" s="1"/>
  <c r="AU328"/>
  <c r="AT328"/>
  <c r="AV328" s="1"/>
  <c r="AY328" s="1"/>
  <c r="AS328"/>
  <c r="AR328"/>
  <c r="AQ328"/>
  <c r="Y328"/>
  <c r="X328"/>
  <c r="BE327"/>
  <c r="BD327"/>
  <c r="BC327"/>
  <c r="BB327"/>
  <c r="AU327"/>
  <c r="AT327"/>
  <c r="AR327"/>
  <c r="AQ327"/>
  <c r="Y327"/>
  <c r="AW327" s="1"/>
  <c r="AZ327" s="1"/>
  <c r="X327"/>
  <c r="BE326"/>
  <c r="BC326"/>
  <c r="BD326" s="1"/>
  <c r="BB326"/>
  <c r="AW326"/>
  <c r="AZ326" s="1"/>
  <c r="AU326"/>
  <c r="AT326"/>
  <c r="AV326" s="1"/>
  <c r="AY326" s="1"/>
  <c r="AS326"/>
  <c r="AR326"/>
  <c r="AQ326"/>
  <c r="AX326" s="1"/>
  <c r="Y326"/>
  <c r="X326"/>
  <c r="BE325"/>
  <c r="BD325"/>
  <c r="BC325"/>
  <c r="BB325"/>
  <c r="AU325"/>
  <c r="AT325"/>
  <c r="AR325"/>
  <c r="Y325" s="1"/>
  <c r="AQ325"/>
  <c r="X325"/>
  <c r="BE324"/>
  <c r="BC324"/>
  <c r="BD324" s="1"/>
  <c r="BB324"/>
  <c r="AW324"/>
  <c r="AZ324" s="1"/>
  <c r="AU324"/>
  <c r="AT324"/>
  <c r="AV324" s="1"/>
  <c r="AY324" s="1"/>
  <c r="AS324"/>
  <c r="AR324"/>
  <c r="AQ324"/>
  <c r="AX324" s="1"/>
  <c r="Y324"/>
  <c r="X324"/>
  <c r="BE323"/>
  <c r="BD323"/>
  <c r="BC323"/>
  <c r="BB323"/>
  <c r="AU323"/>
  <c r="AT323"/>
  <c r="AR323"/>
  <c r="AQ323"/>
  <c r="Y323"/>
  <c r="AW323" s="1"/>
  <c r="AZ323" s="1"/>
  <c r="X323"/>
  <c r="BE322"/>
  <c r="BC322"/>
  <c r="BD322" s="1"/>
  <c r="BB322"/>
  <c r="AU322"/>
  <c r="AT322"/>
  <c r="AR322"/>
  <c r="Y322" s="1"/>
  <c r="AQ322"/>
  <c r="X322"/>
  <c r="BE321"/>
  <c r="BD321"/>
  <c r="BC321"/>
  <c r="BB321"/>
  <c r="AU321"/>
  <c r="AT321"/>
  <c r="AR321"/>
  <c r="Y321" s="1"/>
  <c r="AQ321"/>
  <c r="X321"/>
  <c r="BE320"/>
  <c r="BC320"/>
  <c r="BD320" s="1"/>
  <c r="BB320"/>
  <c r="AW320"/>
  <c r="AZ320" s="1"/>
  <c r="AU320"/>
  <c r="AT320"/>
  <c r="AV320" s="1"/>
  <c r="AY320" s="1"/>
  <c r="AS320"/>
  <c r="AR320"/>
  <c r="AQ320"/>
  <c r="AX320" s="1"/>
  <c r="Y320"/>
  <c r="X320"/>
  <c r="BE319"/>
  <c r="BD319"/>
  <c r="BC319"/>
  <c r="BB319"/>
  <c r="AU319"/>
  <c r="AT319"/>
  <c r="AR319"/>
  <c r="AQ319"/>
  <c r="Y319"/>
  <c r="AW319" s="1"/>
  <c r="AZ319" s="1"/>
  <c r="X319"/>
  <c r="BE318"/>
  <c r="BC318"/>
  <c r="BD318" s="1"/>
  <c r="BB318"/>
  <c r="AU318"/>
  <c r="AT318"/>
  <c r="AR318"/>
  <c r="Y318" s="1"/>
  <c r="AQ318"/>
  <c r="X318"/>
  <c r="BE317"/>
  <c r="BD317"/>
  <c r="BC317"/>
  <c r="BB317"/>
  <c r="AU317"/>
  <c r="AT317"/>
  <c r="AR317"/>
  <c r="Y317" s="1"/>
  <c r="AQ317"/>
  <c r="X317"/>
  <c r="BE316"/>
  <c r="BC316"/>
  <c r="BD316" s="1"/>
  <c r="BB316"/>
  <c r="AW316"/>
  <c r="AZ316" s="1"/>
  <c r="AU316"/>
  <c r="AT316"/>
  <c r="AV316" s="1"/>
  <c r="AY316" s="1"/>
  <c r="AS316"/>
  <c r="AR316"/>
  <c r="AQ316"/>
  <c r="Y316"/>
  <c r="X316"/>
  <c r="BE315"/>
  <c r="BD315"/>
  <c r="BC315"/>
  <c r="BB315"/>
  <c r="AU315"/>
  <c r="AT315"/>
  <c r="AR315"/>
  <c r="AQ315"/>
  <c r="Y315"/>
  <c r="AW315" s="1"/>
  <c r="AZ315" s="1"/>
  <c r="X315"/>
  <c r="BE314"/>
  <c r="BC314"/>
  <c r="BD314" s="1"/>
  <c r="BB314"/>
  <c r="AU314"/>
  <c r="AT314"/>
  <c r="AR314"/>
  <c r="Y314" s="1"/>
  <c r="AQ314"/>
  <c r="X314"/>
  <c r="BE313"/>
  <c r="BD313"/>
  <c r="BC313"/>
  <c r="BB313"/>
  <c r="AU313"/>
  <c r="AT313"/>
  <c r="AR313"/>
  <c r="Y313" s="1"/>
  <c r="AQ313"/>
  <c r="X313"/>
  <c r="BE312"/>
  <c r="BC312"/>
  <c r="BD312" s="1"/>
  <c r="BB312"/>
  <c r="AW312"/>
  <c r="AZ312" s="1"/>
  <c r="AU312"/>
  <c r="AT312"/>
  <c r="AV312" s="1"/>
  <c r="AY312" s="1"/>
  <c r="AS312"/>
  <c r="AR312"/>
  <c r="AQ312"/>
  <c r="AX312" s="1"/>
  <c r="Y312"/>
  <c r="X312"/>
  <c r="BE311"/>
  <c r="BD311"/>
  <c r="BC311"/>
  <c r="BB311"/>
  <c r="AU311"/>
  <c r="AT311"/>
  <c r="AR311"/>
  <c r="AQ311"/>
  <c r="Y311"/>
  <c r="AW311" s="1"/>
  <c r="AZ311" s="1"/>
  <c r="X311"/>
  <c r="BE310"/>
  <c r="BC310"/>
  <c r="BD310" s="1"/>
  <c r="BB310"/>
  <c r="AU310"/>
  <c r="AT310"/>
  <c r="AR310"/>
  <c r="Y310" s="1"/>
  <c r="AQ310"/>
  <c r="X310"/>
  <c r="BE309"/>
  <c r="BD309"/>
  <c r="BC309"/>
  <c r="BB309"/>
  <c r="AU309"/>
  <c r="AT309"/>
  <c r="AR309"/>
  <c r="Y309" s="1"/>
  <c r="AQ309"/>
  <c r="X309"/>
  <c r="BE308"/>
  <c r="BC308"/>
  <c r="BD308" s="1"/>
  <c r="BB308"/>
  <c r="AW308"/>
  <c r="AZ308" s="1"/>
  <c r="AU308"/>
  <c r="AT308"/>
  <c r="AV308" s="1"/>
  <c r="AY308" s="1"/>
  <c r="AS308"/>
  <c r="AR308"/>
  <c r="AQ308"/>
  <c r="Y308"/>
  <c r="X308"/>
  <c r="BE307"/>
  <c r="BD307"/>
  <c r="BC307"/>
  <c r="BB307"/>
  <c r="AU307"/>
  <c r="AT307"/>
  <c r="AR307"/>
  <c r="AQ307"/>
  <c r="Y307"/>
  <c r="AW307" s="1"/>
  <c r="AZ307" s="1"/>
  <c r="X307"/>
  <c r="BE306"/>
  <c r="BC306"/>
  <c r="BD306" s="1"/>
  <c r="BB306"/>
  <c r="AW306"/>
  <c r="AZ306" s="1"/>
  <c r="AU306"/>
  <c r="AT306"/>
  <c r="AV306" s="1"/>
  <c r="AY306" s="1"/>
  <c r="AS306"/>
  <c r="AR306"/>
  <c r="AQ306"/>
  <c r="AX306" s="1"/>
  <c r="Y306"/>
  <c r="X306"/>
  <c r="BE305"/>
  <c r="BD305"/>
  <c r="BC305"/>
  <c r="BB305"/>
  <c r="AU305"/>
  <c r="AT305"/>
  <c r="AR305"/>
  <c r="Y305" s="1"/>
  <c r="AQ305"/>
  <c r="X305"/>
  <c r="BE304"/>
  <c r="BC304"/>
  <c r="BD304" s="1"/>
  <c r="BB304"/>
  <c r="AU304"/>
  <c r="AT304"/>
  <c r="AR304"/>
  <c r="Y304" s="1"/>
  <c r="AQ304"/>
  <c r="X304"/>
  <c r="BE303"/>
  <c r="BD303"/>
  <c r="BC303"/>
  <c r="BB303"/>
  <c r="AU303"/>
  <c r="AT303"/>
  <c r="AR303"/>
  <c r="AQ303"/>
  <c r="Y303"/>
  <c r="AW303" s="1"/>
  <c r="AZ303" s="1"/>
  <c r="X303"/>
  <c r="BE302"/>
  <c r="BC302"/>
  <c r="BD302" s="1"/>
  <c r="BB302"/>
  <c r="AW302"/>
  <c r="AZ302" s="1"/>
  <c r="AU302"/>
  <c r="AT302"/>
  <c r="AV302" s="1"/>
  <c r="AY302" s="1"/>
  <c r="AS302"/>
  <c r="AR302"/>
  <c r="AQ302"/>
  <c r="Y302"/>
  <c r="X302"/>
  <c r="BE301"/>
  <c r="BD301"/>
  <c r="BC301"/>
  <c r="BB301"/>
  <c r="AU301"/>
  <c r="AT301"/>
  <c r="AR301"/>
  <c r="Y301" s="1"/>
  <c r="AQ301"/>
  <c r="X301"/>
  <c r="BE300"/>
  <c r="BC300"/>
  <c r="BD300" s="1"/>
  <c r="BB300"/>
  <c r="AW300"/>
  <c r="AZ300" s="1"/>
  <c r="AU300"/>
  <c r="AT300"/>
  <c r="AV300" s="1"/>
  <c r="AY300" s="1"/>
  <c r="AS300"/>
  <c r="AR300"/>
  <c r="AQ300"/>
  <c r="Y300"/>
  <c r="X300"/>
  <c r="BE299"/>
  <c r="BD299"/>
  <c r="BC299"/>
  <c r="BB299"/>
  <c r="AU299"/>
  <c r="AT299"/>
  <c r="AR299"/>
  <c r="AQ299"/>
  <c r="Y299"/>
  <c r="AW299" s="1"/>
  <c r="AZ299" s="1"/>
  <c r="X299"/>
  <c r="BE298"/>
  <c r="BC298"/>
  <c r="BD298" s="1"/>
  <c r="BB298"/>
  <c r="AW298"/>
  <c r="AZ298" s="1"/>
  <c r="AU298"/>
  <c r="AT298"/>
  <c r="AV298" s="1"/>
  <c r="AY298" s="1"/>
  <c r="AS298"/>
  <c r="AR298"/>
  <c r="AQ298"/>
  <c r="Y298"/>
  <c r="X298"/>
  <c r="BE297"/>
  <c r="BD297"/>
  <c r="BC297"/>
  <c r="BB297"/>
  <c r="AU297"/>
  <c r="AT297"/>
  <c r="AR297"/>
  <c r="Y297" s="1"/>
  <c r="AQ297"/>
  <c r="X297"/>
  <c r="BE296"/>
  <c r="BC296"/>
  <c r="BD296" s="1"/>
  <c r="BB296"/>
  <c r="AW296"/>
  <c r="AZ296" s="1"/>
  <c r="AU296"/>
  <c r="AT296"/>
  <c r="AV296" s="1"/>
  <c r="AY296" s="1"/>
  <c r="AS296"/>
  <c r="AR296"/>
  <c r="AQ296"/>
  <c r="Y296"/>
  <c r="X296"/>
  <c r="BE295"/>
  <c r="BD295"/>
  <c r="BC295"/>
  <c r="BB295"/>
  <c r="AU295"/>
  <c r="AT295"/>
  <c r="AR295"/>
  <c r="AQ295"/>
  <c r="Y295"/>
  <c r="AW295" s="1"/>
  <c r="AZ295" s="1"/>
  <c r="X295"/>
  <c r="BE294"/>
  <c r="BC294"/>
  <c r="BD294" s="1"/>
  <c r="BB294"/>
  <c r="AW294"/>
  <c r="AZ294" s="1"/>
  <c r="AU294"/>
  <c r="AT294"/>
  <c r="AV294" s="1"/>
  <c r="AY294" s="1"/>
  <c r="AS294"/>
  <c r="AR294"/>
  <c r="AQ294"/>
  <c r="AX294" s="1"/>
  <c r="Y294"/>
  <c r="X294"/>
  <c r="BE293"/>
  <c r="BD293"/>
  <c r="BC293"/>
  <c r="BB293"/>
  <c r="AU293"/>
  <c r="AT293"/>
  <c r="AR293"/>
  <c r="Y293" s="1"/>
  <c r="AQ293"/>
  <c r="X293"/>
  <c r="BE292"/>
  <c r="BC292"/>
  <c r="BD292" s="1"/>
  <c r="BB292"/>
  <c r="AW292"/>
  <c r="AZ292" s="1"/>
  <c r="AU292"/>
  <c r="AT292"/>
  <c r="AV292" s="1"/>
  <c r="AY292" s="1"/>
  <c r="AS292"/>
  <c r="AR292"/>
  <c r="AQ292"/>
  <c r="AX292" s="1"/>
  <c r="Y292"/>
  <c r="X292"/>
  <c r="BE291"/>
  <c r="BD291"/>
  <c r="BC291"/>
  <c r="BB291"/>
  <c r="AU291"/>
  <c r="AT291"/>
  <c r="AR291"/>
  <c r="AQ291"/>
  <c r="Y291"/>
  <c r="AW291" s="1"/>
  <c r="AZ291" s="1"/>
  <c r="X291"/>
  <c r="BE290"/>
  <c r="BC290"/>
  <c r="BD290" s="1"/>
  <c r="BB290"/>
  <c r="AW290"/>
  <c r="AZ290" s="1"/>
  <c r="AU290"/>
  <c r="AT290"/>
  <c r="AV290" s="1"/>
  <c r="AY290" s="1"/>
  <c r="AS290"/>
  <c r="AR290"/>
  <c r="AQ290"/>
  <c r="AX290" s="1"/>
  <c r="Y290"/>
  <c r="X290"/>
  <c r="BE289"/>
  <c r="BD289"/>
  <c r="BC289"/>
  <c r="BB289"/>
  <c r="AU289"/>
  <c r="AT289"/>
  <c r="AR289"/>
  <c r="Y289" s="1"/>
  <c r="AQ289"/>
  <c r="X289"/>
  <c r="BE288"/>
  <c r="BC288"/>
  <c r="BD288" s="1"/>
  <c r="BB288"/>
  <c r="AW288"/>
  <c r="AZ288" s="1"/>
  <c r="AU288"/>
  <c r="AT288"/>
  <c r="AS288"/>
  <c r="AR288"/>
  <c r="AQ288"/>
  <c r="Y288"/>
  <c r="X288"/>
  <c r="BE287"/>
  <c r="BD287"/>
  <c r="BC287"/>
  <c r="BB287"/>
  <c r="AU287"/>
  <c r="AT287"/>
  <c r="AR287"/>
  <c r="AQ287"/>
  <c r="Y287"/>
  <c r="X287"/>
  <c r="BE286"/>
  <c r="BC286"/>
  <c r="BD286" s="1"/>
  <c r="BB286"/>
  <c r="AU286"/>
  <c r="AT286"/>
  <c r="AR286"/>
  <c r="Y286" s="1"/>
  <c r="AQ286"/>
  <c r="X286"/>
  <c r="BE285"/>
  <c r="BD285"/>
  <c r="BC285"/>
  <c r="BB285"/>
  <c r="AU285"/>
  <c r="AT285"/>
  <c r="AR285"/>
  <c r="Y285" s="1"/>
  <c r="AQ285"/>
  <c r="X285"/>
  <c r="BE284"/>
  <c r="BC284"/>
  <c r="BD284" s="1"/>
  <c r="BB284"/>
  <c r="AW284"/>
  <c r="AZ284" s="1"/>
  <c r="AU284"/>
  <c r="AT284"/>
  <c r="AS284"/>
  <c r="AR284"/>
  <c r="AQ284"/>
  <c r="Y284"/>
  <c r="X284"/>
  <c r="BE283"/>
  <c r="BD283"/>
  <c r="BC283"/>
  <c r="BB283"/>
  <c r="AU283"/>
  <c r="AT283"/>
  <c r="AR283"/>
  <c r="AQ283"/>
  <c r="Y283"/>
  <c r="X283"/>
  <c r="BE282"/>
  <c r="BC282"/>
  <c r="BD282" s="1"/>
  <c r="BB282"/>
  <c r="AU282"/>
  <c r="AT282"/>
  <c r="AR282"/>
  <c r="Y282" s="1"/>
  <c r="AQ282"/>
  <c r="X282"/>
  <c r="BE281"/>
  <c r="BD281"/>
  <c r="BC281"/>
  <c r="BB281"/>
  <c r="AU281"/>
  <c r="AT281"/>
  <c r="AR281"/>
  <c r="Y281" s="1"/>
  <c r="AQ281"/>
  <c r="X281"/>
  <c r="BE280"/>
  <c r="BC280"/>
  <c r="BD280" s="1"/>
  <c r="BB280"/>
  <c r="AW280"/>
  <c r="AZ280" s="1"/>
  <c r="AU280"/>
  <c r="AT280"/>
  <c r="AS280"/>
  <c r="AR280"/>
  <c r="AQ280"/>
  <c r="Y280"/>
  <c r="X280"/>
  <c r="BE279"/>
  <c r="BD279"/>
  <c r="BC279"/>
  <c r="BB279"/>
  <c r="AU279"/>
  <c r="AT279"/>
  <c r="AR279"/>
  <c r="Y279" s="1"/>
  <c r="AQ279"/>
  <c r="X279"/>
  <c r="BE278"/>
  <c r="BC278"/>
  <c r="BD278" s="1"/>
  <c r="BB278"/>
  <c r="AW278"/>
  <c r="AZ278" s="1"/>
  <c r="AU278"/>
  <c r="AT278"/>
  <c r="AS278"/>
  <c r="AR278"/>
  <c r="AQ278"/>
  <c r="Y278"/>
  <c r="X278"/>
  <c r="BE277"/>
  <c r="BD277"/>
  <c r="BC277"/>
  <c r="BB277"/>
  <c r="AU277"/>
  <c r="AT277"/>
  <c r="AR277"/>
  <c r="AQ277"/>
  <c r="Y277"/>
  <c r="X277"/>
  <c r="BE276"/>
  <c r="BC276"/>
  <c r="BD276" s="1"/>
  <c r="BB276"/>
  <c r="AW276"/>
  <c r="AZ276" s="1"/>
  <c r="AU276"/>
  <c r="AT276"/>
  <c r="AS276"/>
  <c r="AR276"/>
  <c r="AQ276"/>
  <c r="Y276"/>
  <c r="X276"/>
  <c r="BE275"/>
  <c r="BD275"/>
  <c r="BC275"/>
  <c r="BB275"/>
  <c r="AU275"/>
  <c r="AT275"/>
  <c r="AR275"/>
  <c r="Y275" s="1"/>
  <c r="AQ275"/>
  <c r="X275"/>
  <c r="BE274"/>
  <c r="BC274"/>
  <c r="BD274" s="1"/>
  <c r="BB274"/>
  <c r="AW274"/>
  <c r="AZ274" s="1"/>
  <c r="AU274"/>
  <c r="AT274"/>
  <c r="AS274"/>
  <c r="AR274"/>
  <c r="AQ274"/>
  <c r="Y274"/>
  <c r="X274"/>
  <c r="BE273"/>
  <c r="BD273"/>
  <c r="BC273"/>
  <c r="BB273"/>
  <c r="AU273"/>
  <c r="AT273"/>
  <c r="AR273"/>
  <c r="AQ273"/>
  <c r="Y273"/>
  <c r="X273"/>
  <c r="BE272"/>
  <c r="BC272"/>
  <c r="BD272" s="1"/>
  <c r="BB272"/>
  <c r="AW272"/>
  <c r="AZ272" s="1"/>
  <c r="AU272"/>
  <c r="AT272"/>
  <c r="AS272"/>
  <c r="AR272"/>
  <c r="AQ272"/>
  <c r="Y272"/>
  <c r="X272"/>
  <c r="BE271"/>
  <c r="BD271"/>
  <c r="BC271"/>
  <c r="BB271"/>
  <c r="AU271"/>
  <c r="AT271"/>
  <c r="AR271"/>
  <c r="Y271" s="1"/>
  <c r="AQ271"/>
  <c r="X271"/>
  <c r="BE270"/>
  <c r="BC270"/>
  <c r="BD270" s="1"/>
  <c r="BB270"/>
  <c r="AW270"/>
  <c r="AZ270" s="1"/>
  <c r="AU270"/>
  <c r="AT270"/>
  <c r="AS270"/>
  <c r="AR270"/>
  <c r="AQ270"/>
  <c r="Y270"/>
  <c r="X270"/>
  <c r="BE269"/>
  <c r="BD269"/>
  <c r="BC269"/>
  <c r="BB269"/>
  <c r="AU269"/>
  <c r="AT269"/>
  <c r="AR269"/>
  <c r="AQ269"/>
  <c r="Y269"/>
  <c r="X269"/>
  <c r="BE268"/>
  <c r="BC268"/>
  <c r="BD268" s="1"/>
  <c r="BB268"/>
  <c r="AW268"/>
  <c r="AZ268" s="1"/>
  <c r="AU268"/>
  <c r="AT268"/>
  <c r="AS268"/>
  <c r="AR268"/>
  <c r="AQ268"/>
  <c r="Y268"/>
  <c r="X268"/>
  <c r="BE267"/>
  <c r="BD267"/>
  <c r="BC267"/>
  <c r="BB267"/>
  <c r="AU267"/>
  <c r="AT267"/>
  <c r="AR267"/>
  <c r="Y267" s="1"/>
  <c r="AQ267"/>
  <c r="X267"/>
  <c r="BE266"/>
  <c r="BC266"/>
  <c r="BD266" s="1"/>
  <c r="BB266"/>
  <c r="AW266"/>
  <c r="AZ266" s="1"/>
  <c r="AU266"/>
  <c r="AT266"/>
  <c r="AS266"/>
  <c r="AR266"/>
  <c r="AQ266"/>
  <c r="Y266"/>
  <c r="X266"/>
  <c r="BE265"/>
  <c r="BD265"/>
  <c r="BC265"/>
  <c r="BB265"/>
  <c r="AU265"/>
  <c r="AT265"/>
  <c r="AR265"/>
  <c r="AQ265"/>
  <c r="Y265"/>
  <c r="X265"/>
  <c r="BE264"/>
  <c r="BC264"/>
  <c r="BD264" s="1"/>
  <c r="BB264"/>
  <c r="AU264"/>
  <c r="AT264"/>
  <c r="AR264"/>
  <c r="Y264" s="1"/>
  <c r="AW264" s="1"/>
  <c r="AZ264" s="1"/>
  <c r="AQ264"/>
  <c r="X264"/>
  <c r="BE263"/>
  <c r="BD263"/>
  <c r="BC263"/>
  <c r="BB263"/>
  <c r="AU263"/>
  <c r="AT263"/>
  <c r="AR263"/>
  <c r="AQ263"/>
  <c r="Y263"/>
  <c r="X263"/>
  <c r="BE262"/>
  <c r="BC262"/>
  <c r="BD262" s="1"/>
  <c r="BB262"/>
  <c r="AW262"/>
  <c r="AZ262" s="1"/>
  <c r="AU262"/>
  <c r="AT262"/>
  <c r="AS262"/>
  <c r="AR262"/>
  <c r="AQ262"/>
  <c r="Y262"/>
  <c r="X262"/>
  <c r="BE261"/>
  <c r="BD261"/>
  <c r="BC261"/>
  <c r="BB261"/>
  <c r="AU261"/>
  <c r="AT261"/>
  <c r="AR261"/>
  <c r="Y261" s="1"/>
  <c r="AQ261"/>
  <c r="X261"/>
  <c r="BE260"/>
  <c r="BC260"/>
  <c r="BD260" s="1"/>
  <c r="BB260"/>
  <c r="AW260"/>
  <c r="AZ260" s="1"/>
  <c r="AU260"/>
  <c r="AT260"/>
  <c r="AV260" s="1"/>
  <c r="AY260" s="1"/>
  <c r="AS260"/>
  <c r="AR260"/>
  <c r="AQ260"/>
  <c r="Y260"/>
  <c r="X260"/>
  <c r="BE259"/>
  <c r="BD259"/>
  <c r="BC259"/>
  <c r="BB259"/>
  <c r="AU259"/>
  <c r="AT259"/>
  <c r="AR259"/>
  <c r="AQ259"/>
  <c r="Y259"/>
  <c r="X259"/>
  <c r="BE258"/>
  <c r="BC258"/>
  <c r="BD258" s="1"/>
  <c r="BB258"/>
  <c r="AW258"/>
  <c r="AZ258" s="1"/>
  <c r="AU258"/>
  <c r="AT258"/>
  <c r="AS258"/>
  <c r="AR258"/>
  <c r="AQ258"/>
  <c r="Y258"/>
  <c r="X258"/>
  <c r="BE257"/>
  <c r="BD257"/>
  <c r="BC257"/>
  <c r="BB257"/>
  <c r="AU257"/>
  <c r="AT257"/>
  <c r="AR257"/>
  <c r="Y257" s="1"/>
  <c r="AQ257"/>
  <c r="X257"/>
  <c r="BE256"/>
  <c r="BC256"/>
  <c r="BD256" s="1"/>
  <c r="BB256"/>
  <c r="AU256"/>
  <c r="AT256"/>
  <c r="AV256" s="1"/>
  <c r="AY256" s="1"/>
  <c r="AS256"/>
  <c r="AR256"/>
  <c r="Y256" s="1"/>
  <c r="AW256" s="1"/>
  <c r="AZ256" s="1"/>
  <c r="AQ256"/>
  <c r="X256"/>
  <c r="BE255"/>
  <c r="BD255"/>
  <c r="BC255"/>
  <c r="BB255"/>
  <c r="AU255"/>
  <c r="AT255"/>
  <c r="AR255"/>
  <c r="Y255" s="1"/>
  <c r="AQ255"/>
  <c r="X255"/>
  <c r="BE254"/>
  <c r="BD254"/>
  <c r="BC254"/>
  <c r="BB254"/>
  <c r="AU254"/>
  <c r="AT254"/>
  <c r="AR254"/>
  <c r="Y254" s="1"/>
  <c r="AQ254"/>
  <c r="X254"/>
  <c r="BE253"/>
  <c r="BC253"/>
  <c r="BD253" s="1"/>
  <c r="BB253"/>
  <c r="AU253"/>
  <c r="AT253"/>
  <c r="AR253"/>
  <c r="AQ253"/>
  <c r="Y253"/>
  <c r="AW253" s="1"/>
  <c r="AZ253" s="1"/>
  <c r="X253"/>
  <c r="BE252"/>
  <c r="BC252"/>
  <c r="BD252" s="1"/>
  <c r="BB252"/>
  <c r="AU252"/>
  <c r="AT252"/>
  <c r="AR252"/>
  <c r="AQ252"/>
  <c r="Y252"/>
  <c r="AW252" s="1"/>
  <c r="AZ252" s="1"/>
  <c r="X252"/>
  <c r="BE251"/>
  <c r="BD251"/>
  <c r="BC251"/>
  <c r="BB251"/>
  <c r="AU251"/>
  <c r="AT251"/>
  <c r="AR251"/>
  <c r="Y251" s="1"/>
  <c r="AQ251"/>
  <c r="X251"/>
  <c r="BE250"/>
  <c r="BD250"/>
  <c r="BC250"/>
  <c r="BB250"/>
  <c r="AU250"/>
  <c r="AT250"/>
  <c r="AR250"/>
  <c r="Y250" s="1"/>
  <c r="AQ250"/>
  <c r="X250"/>
  <c r="BE249"/>
  <c r="BC249"/>
  <c r="BD249" s="1"/>
  <c r="BB249"/>
  <c r="AU249"/>
  <c r="AT249"/>
  <c r="AR249"/>
  <c r="AQ249"/>
  <c r="Y249"/>
  <c r="AW249" s="1"/>
  <c r="AZ249" s="1"/>
  <c r="X249"/>
  <c r="BE248"/>
  <c r="BC248"/>
  <c r="BD248" s="1"/>
  <c r="BB248"/>
  <c r="AU248"/>
  <c r="AT248"/>
  <c r="AR248"/>
  <c r="AQ248"/>
  <c r="Y248"/>
  <c r="AW248" s="1"/>
  <c r="AZ248" s="1"/>
  <c r="X248"/>
  <c r="BE247"/>
  <c r="BD247"/>
  <c r="BC247"/>
  <c r="BB247"/>
  <c r="AU247"/>
  <c r="AT247"/>
  <c r="AR247"/>
  <c r="Y247" s="1"/>
  <c r="AQ247"/>
  <c r="X247"/>
  <c r="BE246"/>
  <c r="BD246"/>
  <c r="BC246"/>
  <c r="BB246"/>
  <c r="AU246"/>
  <c r="AT246"/>
  <c r="AR246"/>
  <c r="Y246" s="1"/>
  <c r="AQ246"/>
  <c r="X246"/>
  <c r="BE245"/>
  <c r="BC245"/>
  <c r="BD245" s="1"/>
  <c r="BB245"/>
  <c r="AU245"/>
  <c r="AT245"/>
  <c r="AR245"/>
  <c r="AQ245"/>
  <c r="Y245"/>
  <c r="AW245" s="1"/>
  <c r="AZ245" s="1"/>
  <c r="X245"/>
  <c r="BE244"/>
  <c r="BC244"/>
  <c r="BD244" s="1"/>
  <c r="BB244"/>
  <c r="AU244"/>
  <c r="AT244"/>
  <c r="AR244"/>
  <c r="AQ244"/>
  <c r="Y244"/>
  <c r="AW244" s="1"/>
  <c r="AZ244" s="1"/>
  <c r="X244"/>
  <c r="BE243"/>
  <c r="BD243"/>
  <c r="BC243"/>
  <c r="BB243"/>
  <c r="AU243"/>
  <c r="AT243"/>
  <c r="AR243"/>
  <c r="Y243" s="1"/>
  <c r="AQ243"/>
  <c r="X243"/>
  <c r="BE242"/>
  <c r="BD242"/>
  <c r="BC242"/>
  <c r="BB242"/>
  <c r="AU242"/>
  <c r="AT242"/>
  <c r="AR242"/>
  <c r="Y242" s="1"/>
  <c r="AQ242"/>
  <c r="X242"/>
  <c r="BE241"/>
  <c r="BC241"/>
  <c r="BD241" s="1"/>
  <c r="BB241"/>
  <c r="AU241"/>
  <c r="AT241"/>
  <c r="AR241"/>
  <c r="AQ241"/>
  <c r="Y241"/>
  <c r="AW241" s="1"/>
  <c r="AZ241" s="1"/>
  <c r="X241"/>
  <c r="BE240"/>
  <c r="BC240"/>
  <c r="BD240" s="1"/>
  <c r="BB240"/>
  <c r="AU240"/>
  <c r="AT240"/>
  <c r="AR240"/>
  <c r="AQ240"/>
  <c r="Y240"/>
  <c r="AW240" s="1"/>
  <c r="AZ240" s="1"/>
  <c r="X240"/>
  <c r="BE239"/>
  <c r="BD239"/>
  <c r="BC239"/>
  <c r="BB239"/>
  <c r="AU239"/>
  <c r="AT239"/>
  <c r="AR239"/>
  <c r="Y239" s="1"/>
  <c r="AQ239"/>
  <c r="X239"/>
  <c r="BE238"/>
  <c r="BD238"/>
  <c r="BC238"/>
  <c r="BB238"/>
  <c r="AU238"/>
  <c r="AT238"/>
  <c r="AR238"/>
  <c r="Y238" s="1"/>
  <c r="AQ238"/>
  <c r="X238"/>
  <c r="BE237"/>
  <c r="BC237"/>
  <c r="BD237" s="1"/>
  <c r="BB237"/>
  <c r="AU237"/>
  <c r="AT237"/>
  <c r="AR237"/>
  <c r="AQ237"/>
  <c r="Y237"/>
  <c r="AW237" s="1"/>
  <c r="AZ237" s="1"/>
  <c r="X237"/>
  <c r="BE236"/>
  <c r="BC236"/>
  <c r="BD236" s="1"/>
  <c r="BB236"/>
  <c r="AU236"/>
  <c r="AT236"/>
  <c r="AR236"/>
  <c r="AQ236"/>
  <c r="Y236"/>
  <c r="AW236" s="1"/>
  <c r="AZ236" s="1"/>
  <c r="X236"/>
  <c r="BE235"/>
  <c r="BD235"/>
  <c r="BC235"/>
  <c r="BB235"/>
  <c r="AU235"/>
  <c r="AT235"/>
  <c r="AR235"/>
  <c r="Y235" s="1"/>
  <c r="AQ235"/>
  <c r="X235"/>
  <c r="BE234"/>
  <c r="BD234"/>
  <c r="BC234"/>
  <c r="BB234"/>
  <c r="AU234"/>
  <c r="AT234"/>
  <c r="AR234"/>
  <c r="Y234" s="1"/>
  <c r="AQ234"/>
  <c r="X234"/>
  <c r="BE233"/>
  <c r="BC233"/>
  <c r="BD233" s="1"/>
  <c r="BB233"/>
  <c r="AU233"/>
  <c r="AT233"/>
  <c r="AR233"/>
  <c r="AQ233"/>
  <c r="Y233"/>
  <c r="AW233" s="1"/>
  <c r="AZ233" s="1"/>
  <c r="X233"/>
  <c r="BE232"/>
  <c r="BC232"/>
  <c r="BD232" s="1"/>
  <c r="BB232"/>
  <c r="AU232"/>
  <c r="AT232"/>
  <c r="AR232"/>
  <c r="AQ232"/>
  <c r="Y232"/>
  <c r="AW232" s="1"/>
  <c r="AZ232" s="1"/>
  <c r="X232"/>
  <c r="BE231"/>
  <c r="BD231"/>
  <c r="BC231"/>
  <c r="BB231"/>
  <c r="AU231"/>
  <c r="AT231"/>
  <c r="AR231"/>
  <c r="Y231" s="1"/>
  <c r="AQ231"/>
  <c r="X231"/>
  <c r="BE230"/>
  <c r="BD230"/>
  <c r="BC230"/>
  <c r="BB230"/>
  <c r="AU230"/>
  <c r="AT230"/>
  <c r="AR230"/>
  <c r="Y230" s="1"/>
  <c r="AQ230"/>
  <c r="X230"/>
  <c r="BE229"/>
  <c r="BD229"/>
  <c r="BC229"/>
  <c r="BB229"/>
  <c r="AU229"/>
  <c r="AT229"/>
  <c r="AR229"/>
  <c r="AQ229"/>
  <c r="Y229"/>
  <c r="AW229" s="1"/>
  <c r="AZ229" s="1"/>
  <c r="X229"/>
  <c r="BE228"/>
  <c r="BC228"/>
  <c r="BD228" s="1"/>
  <c r="BB228"/>
  <c r="AU228"/>
  <c r="AT228"/>
  <c r="AR228"/>
  <c r="AQ228"/>
  <c r="Y228"/>
  <c r="AW228" s="1"/>
  <c r="AZ228" s="1"/>
  <c r="X228"/>
  <c r="BE227"/>
  <c r="BD227"/>
  <c r="BC227"/>
  <c r="BB227"/>
  <c r="AU227"/>
  <c r="AT227"/>
  <c r="AR227"/>
  <c r="Y227" s="1"/>
  <c r="AQ227"/>
  <c r="X227"/>
  <c r="BE226"/>
  <c r="BD226"/>
  <c r="BC226"/>
  <c r="BB226"/>
  <c r="AU226"/>
  <c r="AT226"/>
  <c r="AR226"/>
  <c r="Y226" s="1"/>
  <c r="AQ226"/>
  <c r="X226"/>
  <c r="BE225"/>
  <c r="BD225"/>
  <c r="BC225"/>
  <c r="BB225"/>
  <c r="AU225"/>
  <c r="AT225"/>
  <c r="AR225"/>
  <c r="AQ225"/>
  <c r="Y225"/>
  <c r="AW225" s="1"/>
  <c r="AZ225" s="1"/>
  <c r="X225"/>
  <c r="BE224"/>
  <c r="BC224"/>
  <c r="BD224" s="1"/>
  <c r="BB224"/>
  <c r="AU224"/>
  <c r="AT224"/>
  <c r="AR224"/>
  <c r="AQ224"/>
  <c r="Y224"/>
  <c r="AW224" s="1"/>
  <c r="AZ224" s="1"/>
  <c r="X224"/>
  <c r="BE223"/>
  <c r="BD223"/>
  <c r="BC223"/>
  <c r="BB223"/>
  <c r="AU223"/>
  <c r="AT223"/>
  <c r="AR223"/>
  <c r="Y223" s="1"/>
  <c r="AQ223"/>
  <c r="X223"/>
  <c r="BE222"/>
  <c r="BD222"/>
  <c r="BC222"/>
  <c r="BB222"/>
  <c r="AU222"/>
  <c r="AT222"/>
  <c r="AR222"/>
  <c r="Y222" s="1"/>
  <c r="AQ222"/>
  <c r="X222"/>
  <c r="BE221"/>
  <c r="BD221"/>
  <c r="BC221"/>
  <c r="BB221"/>
  <c r="AU221"/>
  <c r="AT221"/>
  <c r="AR221"/>
  <c r="AQ221"/>
  <c r="Y221"/>
  <c r="AW221" s="1"/>
  <c r="AZ221" s="1"/>
  <c r="X221"/>
  <c r="BE220"/>
  <c r="BC220"/>
  <c r="BD220" s="1"/>
  <c r="BB220"/>
  <c r="AU220"/>
  <c r="AT220"/>
  <c r="AR220"/>
  <c r="AQ220"/>
  <c r="Y220"/>
  <c r="AW220" s="1"/>
  <c r="AZ220" s="1"/>
  <c r="X220"/>
  <c r="BE219"/>
  <c r="BD219"/>
  <c r="BC219"/>
  <c r="BB219"/>
  <c r="AU219"/>
  <c r="AT219"/>
  <c r="AR219"/>
  <c r="Y219" s="1"/>
  <c r="AQ219"/>
  <c r="X219"/>
  <c r="BE218"/>
  <c r="BD218"/>
  <c r="BC218"/>
  <c r="BB218"/>
  <c r="AU218"/>
  <c r="AT218"/>
  <c r="AR218"/>
  <c r="Y218" s="1"/>
  <c r="AQ218"/>
  <c r="X218"/>
  <c r="BE217"/>
  <c r="BD217"/>
  <c r="BC217"/>
  <c r="BB217"/>
  <c r="AU217"/>
  <c r="AT217"/>
  <c r="AR217"/>
  <c r="AQ217"/>
  <c r="Y217"/>
  <c r="AW217" s="1"/>
  <c r="AZ217" s="1"/>
  <c r="X217"/>
  <c r="BE216"/>
  <c r="BC216"/>
  <c r="BD216" s="1"/>
  <c r="BB216"/>
  <c r="AU216"/>
  <c r="AT216"/>
  <c r="AR216"/>
  <c r="AQ216"/>
  <c r="Y216"/>
  <c r="AW216" s="1"/>
  <c r="AZ216" s="1"/>
  <c r="X216"/>
  <c r="BE215"/>
  <c r="BD215"/>
  <c r="BC215"/>
  <c r="BB215"/>
  <c r="AU215"/>
  <c r="AT215"/>
  <c r="AR215"/>
  <c r="Y215" s="1"/>
  <c r="AQ215"/>
  <c r="X215"/>
  <c r="BE214"/>
  <c r="BD214"/>
  <c r="BC214"/>
  <c r="BB214"/>
  <c r="AU214"/>
  <c r="AT214"/>
  <c r="AR214"/>
  <c r="Y214" s="1"/>
  <c r="AQ214"/>
  <c r="X214"/>
  <c r="BE213"/>
  <c r="BD213"/>
  <c r="BC213"/>
  <c r="BB213"/>
  <c r="AU213"/>
  <c r="AT213"/>
  <c r="AR213"/>
  <c r="AQ213"/>
  <c r="Y213"/>
  <c r="AW213" s="1"/>
  <c r="AZ213" s="1"/>
  <c r="X213"/>
  <c r="BE212"/>
  <c r="BC212"/>
  <c r="BD212" s="1"/>
  <c r="BB212"/>
  <c r="AU212"/>
  <c r="AT212"/>
  <c r="AR212"/>
  <c r="AQ212"/>
  <c r="Y212"/>
  <c r="AW212" s="1"/>
  <c r="AZ212" s="1"/>
  <c r="X212"/>
  <c r="BE211"/>
  <c r="BD211"/>
  <c r="BC211"/>
  <c r="BB211"/>
  <c r="AU211"/>
  <c r="AT211"/>
  <c r="AR211"/>
  <c r="Y211" s="1"/>
  <c r="AQ211"/>
  <c r="X211"/>
  <c r="BE210"/>
  <c r="BD210"/>
  <c r="BC210"/>
  <c r="BB210"/>
  <c r="AU210"/>
  <c r="AT210"/>
  <c r="AR210"/>
  <c r="Y210" s="1"/>
  <c r="AQ210"/>
  <c r="X210"/>
  <c r="BE209"/>
  <c r="BD209"/>
  <c r="BC209"/>
  <c r="BB209"/>
  <c r="AU209"/>
  <c r="AT209"/>
  <c r="AR209"/>
  <c r="AQ209"/>
  <c r="Y209"/>
  <c r="AW209" s="1"/>
  <c r="AZ209" s="1"/>
  <c r="X209"/>
  <c r="BE208"/>
  <c r="BC208"/>
  <c r="BD208" s="1"/>
  <c r="BB208"/>
  <c r="AU208"/>
  <c r="AT208"/>
  <c r="AR208"/>
  <c r="AQ208"/>
  <c r="Y208"/>
  <c r="AW208" s="1"/>
  <c r="AZ208" s="1"/>
  <c r="X208"/>
  <c r="BE207"/>
  <c r="BD207"/>
  <c r="BC207"/>
  <c r="BB207"/>
  <c r="AU207"/>
  <c r="AT207"/>
  <c r="AR207"/>
  <c r="Y207" s="1"/>
  <c r="AQ207"/>
  <c r="X207"/>
  <c r="BE206"/>
  <c r="BD206"/>
  <c r="BC206"/>
  <c r="BB206"/>
  <c r="AU206"/>
  <c r="AT206"/>
  <c r="AR206"/>
  <c r="Y206" s="1"/>
  <c r="AQ206"/>
  <c r="X206"/>
  <c r="BE205"/>
  <c r="BD205"/>
  <c r="BC205"/>
  <c r="BB205"/>
  <c r="AU205"/>
  <c r="AT205"/>
  <c r="AR205"/>
  <c r="AQ205"/>
  <c r="Y205"/>
  <c r="AW205" s="1"/>
  <c r="AZ205" s="1"/>
  <c r="X205"/>
  <c r="BE204"/>
  <c r="BC204"/>
  <c r="BD204" s="1"/>
  <c r="BB204"/>
  <c r="AU204"/>
  <c r="AT204"/>
  <c r="AR204"/>
  <c r="AQ204"/>
  <c r="Y204"/>
  <c r="AW204" s="1"/>
  <c r="AZ204" s="1"/>
  <c r="X204"/>
  <c r="BE203"/>
  <c r="BD203"/>
  <c r="BC203"/>
  <c r="BB203"/>
  <c r="AU203"/>
  <c r="AT203"/>
  <c r="AR203"/>
  <c r="Y203" s="1"/>
  <c r="AQ203"/>
  <c r="X203"/>
  <c r="BE202"/>
  <c r="BD202"/>
  <c r="BC202"/>
  <c r="BB202"/>
  <c r="AU202"/>
  <c r="AT202"/>
  <c r="AR202"/>
  <c r="Y202" s="1"/>
  <c r="AQ202"/>
  <c r="X202"/>
  <c r="BE201"/>
  <c r="BD201"/>
  <c r="BC201"/>
  <c r="BB201"/>
  <c r="AU201"/>
  <c r="AT201"/>
  <c r="AR201"/>
  <c r="AQ201"/>
  <c r="Y201"/>
  <c r="AW201" s="1"/>
  <c r="AZ201" s="1"/>
  <c r="X201"/>
  <c r="BE200"/>
  <c r="BC200"/>
  <c r="BD200" s="1"/>
  <c r="BB200"/>
  <c r="AU200"/>
  <c r="AT200"/>
  <c r="AR200"/>
  <c r="AQ200"/>
  <c r="Y200"/>
  <c r="AW200" s="1"/>
  <c r="AZ200" s="1"/>
  <c r="X200"/>
  <c r="BE199"/>
  <c r="BD199"/>
  <c r="BC199"/>
  <c r="BB199"/>
  <c r="AU199"/>
  <c r="AT199"/>
  <c r="AR199"/>
  <c r="Y199" s="1"/>
  <c r="AQ199"/>
  <c r="X199"/>
  <c r="BE198"/>
  <c r="BD198"/>
  <c r="BC198"/>
  <c r="BB198"/>
  <c r="AU198"/>
  <c r="AT198"/>
  <c r="AR198"/>
  <c r="Y198" s="1"/>
  <c r="AQ198"/>
  <c r="X198"/>
  <c r="BE197"/>
  <c r="BD197"/>
  <c r="BC197"/>
  <c r="BB197"/>
  <c r="AU197"/>
  <c r="AT197"/>
  <c r="AR197"/>
  <c r="AQ197"/>
  <c r="Y197"/>
  <c r="AW197" s="1"/>
  <c r="AZ197" s="1"/>
  <c r="X197"/>
  <c r="BE196"/>
  <c r="BC196"/>
  <c r="BD196" s="1"/>
  <c r="BB196"/>
  <c r="AU196"/>
  <c r="AT196"/>
  <c r="AR196"/>
  <c r="AQ196"/>
  <c r="Y196"/>
  <c r="AW196" s="1"/>
  <c r="AZ196" s="1"/>
  <c r="X196"/>
  <c r="BE195"/>
  <c r="BD195"/>
  <c r="BC195"/>
  <c r="BB195"/>
  <c r="AU195"/>
  <c r="AT195"/>
  <c r="AR195"/>
  <c r="Y195" s="1"/>
  <c r="AQ195"/>
  <c r="X195"/>
  <c r="BE194"/>
  <c r="BD194"/>
  <c r="BC194"/>
  <c r="BB194"/>
  <c r="AU194"/>
  <c r="AT194"/>
  <c r="AR194"/>
  <c r="Y194" s="1"/>
  <c r="AQ194"/>
  <c r="X194"/>
  <c r="BE193"/>
  <c r="BD193"/>
  <c r="BC193"/>
  <c r="BB193"/>
  <c r="AU193"/>
  <c r="AT193"/>
  <c r="AR193"/>
  <c r="AQ193"/>
  <c r="Y193"/>
  <c r="AW193" s="1"/>
  <c r="AZ193" s="1"/>
  <c r="X193"/>
  <c r="BE192"/>
  <c r="BC192"/>
  <c r="BD192" s="1"/>
  <c r="BB192"/>
  <c r="AU192"/>
  <c r="AT192"/>
  <c r="AR192"/>
  <c r="AQ192"/>
  <c r="Y192"/>
  <c r="AW192" s="1"/>
  <c r="AZ192" s="1"/>
  <c r="X192"/>
  <c r="BE191"/>
  <c r="BD191"/>
  <c r="BC191"/>
  <c r="BB191"/>
  <c r="AU191"/>
  <c r="AT191"/>
  <c r="AR191"/>
  <c r="Y191" s="1"/>
  <c r="AQ191"/>
  <c r="X191"/>
  <c r="BE190"/>
  <c r="BD190"/>
  <c r="BC190"/>
  <c r="BB190"/>
  <c r="AU190"/>
  <c r="AT190"/>
  <c r="AR190"/>
  <c r="Y190" s="1"/>
  <c r="AQ190"/>
  <c r="X190"/>
  <c r="BE189"/>
  <c r="BD189"/>
  <c r="BC189"/>
  <c r="BB189"/>
  <c r="AU189"/>
  <c r="AT189"/>
  <c r="AR189"/>
  <c r="AQ189"/>
  <c r="Y189"/>
  <c r="AW189" s="1"/>
  <c r="AZ189" s="1"/>
  <c r="X189"/>
  <c r="BE188"/>
  <c r="BC188"/>
  <c r="BD188" s="1"/>
  <c r="BB188"/>
  <c r="AU188"/>
  <c r="AT188"/>
  <c r="AR188"/>
  <c r="AQ188"/>
  <c r="Y188"/>
  <c r="AW188" s="1"/>
  <c r="AZ188" s="1"/>
  <c r="X188"/>
  <c r="BE187"/>
  <c r="BD187"/>
  <c r="BC187"/>
  <c r="BB187"/>
  <c r="AU187"/>
  <c r="AT187"/>
  <c r="AR187"/>
  <c r="Y187" s="1"/>
  <c r="AQ187"/>
  <c r="X187"/>
  <c r="BE186"/>
  <c r="BD186"/>
  <c r="BC186"/>
  <c r="BB186"/>
  <c r="AU186"/>
  <c r="AT186"/>
  <c r="AR186"/>
  <c r="Y186" s="1"/>
  <c r="AQ186"/>
  <c r="X186"/>
  <c r="BE185"/>
  <c r="BD185"/>
  <c r="BC185"/>
  <c r="BB185"/>
  <c r="AU185"/>
  <c r="AT185"/>
  <c r="AR185"/>
  <c r="AQ185"/>
  <c r="Y185"/>
  <c r="AW185" s="1"/>
  <c r="AZ185" s="1"/>
  <c r="X185"/>
  <c r="BE184"/>
  <c r="BC184"/>
  <c r="BD184" s="1"/>
  <c r="BB184"/>
  <c r="AU184"/>
  <c r="AT184"/>
  <c r="AR184"/>
  <c r="AQ184"/>
  <c r="Y184"/>
  <c r="AW184" s="1"/>
  <c r="AZ184" s="1"/>
  <c r="X184"/>
  <c r="BE183"/>
  <c r="BD183"/>
  <c r="BC183"/>
  <c r="BB183"/>
  <c r="AU183"/>
  <c r="AT183"/>
  <c r="AR183"/>
  <c r="Y183" s="1"/>
  <c r="AQ183"/>
  <c r="X183"/>
  <c r="BE182"/>
  <c r="BD182"/>
  <c r="BC182"/>
  <c r="BB182"/>
  <c r="AU182"/>
  <c r="AT182"/>
  <c r="AS182"/>
  <c r="AV182" s="1"/>
  <c r="AY182" s="1"/>
  <c r="AR182"/>
  <c r="Y182" s="1"/>
  <c r="AW182" s="1"/>
  <c r="AZ182" s="1"/>
  <c r="AQ182"/>
  <c r="X182"/>
  <c r="BE181"/>
  <c r="BD181"/>
  <c r="BC181"/>
  <c r="BB181"/>
  <c r="AU181"/>
  <c r="AT181"/>
  <c r="AS181"/>
  <c r="AR181"/>
  <c r="AQ181"/>
  <c r="Y181"/>
  <c r="AW181" s="1"/>
  <c r="AZ181" s="1"/>
  <c r="X181"/>
  <c r="BE180"/>
  <c r="BC180"/>
  <c r="BD180" s="1"/>
  <c r="BB180"/>
  <c r="AU180"/>
  <c r="AT180"/>
  <c r="AR180"/>
  <c r="AQ180"/>
  <c r="Y180"/>
  <c r="X180"/>
  <c r="BE179"/>
  <c r="BD179"/>
  <c r="BC179"/>
  <c r="BB179"/>
  <c r="AU179"/>
  <c r="AT179"/>
  <c r="AR179"/>
  <c r="Y179" s="1"/>
  <c r="AQ179"/>
  <c r="X179"/>
  <c r="BE178"/>
  <c r="BD178"/>
  <c r="BC178"/>
  <c r="BB178"/>
  <c r="AU178"/>
  <c r="AT178"/>
  <c r="AR178"/>
  <c r="Y178" s="1"/>
  <c r="AW178" s="1"/>
  <c r="AZ178" s="1"/>
  <c r="AQ178"/>
  <c r="X178"/>
  <c r="BE177"/>
  <c r="BD177"/>
  <c r="BC177"/>
  <c r="BB177"/>
  <c r="AW177"/>
  <c r="AZ177" s="1"/>
  <c r="AU177"/>
  <c r="AT177"/>
  <c r="AS177"/>
  <c r="AR177"/>
  <c r="AQ177"/>
  <c r="Y177"/>
  <c r="X177"/>
  <c r="BE176"/>
  <c r="BC176"/>
  <c r="BD176" s="1"/>
  <c r="BB176"/>
  <c r="AU176"/>
  <c r="AT176"/>
  <c r="AR176"/>
  <c r="AQ176"/>
  <c r="Y176"/>
  <c r="X176"/>
  <c r="BE175"/>
  <c r="BD175"/>
  <c r="BC175"/>
  <c r="BB175"/>
  <c r="AU175"/>
  <c r="AT175"/>
  <c r="AR175"/>
  <c r="Y175" s="1"/>
  <c r="AQ175"/>
  <c r="X175"/>
  <c r="BE174"/>
  <c r="BD174"/>
  <c r="BC174"/>
  <c r="BB174"/>
  <c r="AZ174"/>
  <c r="AW174"/>
  <c r="AU174"/>
  <c r="AT174"/>
  <c r="AS174"/>
  <c r="AV174" s="1"/>
  <c r="AR174"/>
  <c r="Y174" s="1"/>
  <c r="AQ174"/>
  <c r="X174"/>
  <c r="BE173"/>
  <c r="BC173"/>
  <c r="BD173" s="1"/>
  <c r="BB173"/>
  <c r="AU173"/>
  <c r="AT173"/>
  <c r="AR173"/>
  <c r="AQ173"/>
  <c r="Y173"/>
  <c r="AS173" s="1"/>
  <c r="X173"/>
  <c r="BE172"/>
  <c r="BC172"/>
  <c r="BD172" s="1"/>
  <c r="BB172"/>
  <c r="AU172"/>
  <c r="AT172"/>
  <c r="AR172"/>
  <c r="AQ172"/>
  <c r="Y172"/>
  <c r="X172"/>
  <c r="BE171"/>
  <c r="BC171"/>
  <c r="BD171" s="1"/>
  <c r="BB171"/>
  <c r="AU171"/>
  <c r="AT171"/>
  <c r="AR171"/>
  <c r="Y171" s="1"/>
  <c r="AQ171"/>
  <c r="X171"/>
  <c r="BE170"/>
  <c r="BD170"/>
  <c r="BC170"/>
  <c r="BB170"/>
  <c r="AU170"/>
  <c r="AT170"/>
  <c r="AR170"/>
  <c r="Y170" s="1"/>
  <c r="AW170" s="1"/>
  <c r="AZ170" s="1"/>
  <c r="AQ170"/>
  <c r="X170"/>
  <c r="BE169"/>
  <c r="BC169"/>
  <c r="BD169" s="1"/>
  <c r="BB169"/>
  <c r="AW169"/>
  <c r="AZ169" s="1"/>
  <c r="AU169"/>
  <c r="AT169"/>
  <c r="AS169"/>
  <c r="AR169"/>
  <c r="AQ169"/>
  <c r="Y169"/>
  <c r="X169"/>
  <c r="BE168"/>
  <c r="BC168"/>
  <c r="BD168" s="1"/>
  <c r="BB168"/>
  <c r="AU168"/>
  <c r="AT168"/>
  <c r="AR168"/>
  <c r="AQ168"/>
  <c r="Y168"/>
  <c r="X168"/>
  <c r="BE167"/>
  <c r="BD167"/>
  <c r="BC167"/>
  <c r="BB167"/>
  <c r="AU167"/>
  <c r="AT167"/>
  <c r="AR167"/>
  <c r="Y167" s="1"/>
  <c r="AQ167"/>
  <c r="X167"/>
  <c r="BE166"/>
  <c r="BD166"/>
  <c r="BC166"/>
  <c r="BB166"/>
  <c r="AU166"/>
  <c r="AT166"/>
  <c r="AR166"/>
  <c r="Y166" s="1"/>
  <c r="AQ166"/>
  <c r="X166"/>
  <c r="BE165"/>
  <c r="BD165"/>
  <c r="BC165"/>
  <c r="BB165"/>
  <c r="AU165"/>
  <c r="AT165"/>
  <c r="AR165"/>
  <c r="Y165" s="1"/>
  <c r="AQ165"/>
  <c r="X165"/>
  <c r="BE164"/>
  <c r="BC164"/>
  <c r="BD164" s="1"/>
  <c r="BB164"/>
  <c r="AU164"/>
  <c r="AT164"/>
  <c r="AR164"/>
  <c r="AQ164"/>
  <c r="Y164"/>
  <c r="AW164" s="1"/>
  <c r="AZ164" s="1"/>
  <c r="X164"/>
  <c r="BE163"/>
  <c r="BC163"/>
  <c r="BD163" s="1"/>
  <c r="BB163"/>
  <c r="AU163"/>
  <c r="AT163"/>
  <c r="AR163"/>
  <c r="AQ163"/>
  <c r="Y163"/>
  <c r="AW163" s="1"/>
  <c r="AZ163" s="1"/>
  <c r="X163"/>
  <c r="BE162"/>
  <c r="BD162"/>
  <c r="BC162"/>
  <c r="BB162"/>
  <c r="AU162"/>
  <c r="AT162"/>
  <c r="AR162"/>
  <c r="Y162" s="1"/>
  <c r="AQ162"/>
  <c r="X162"/>
  <c r="BE161"/>
  <c r="BD161"/>
  <c r="BC161"/>
  <c r="BB161"/>
  <c r="AU161"/>
  <c r="AT161"/>
  <c r="AR161"/>
  <c r="Y161" s="1"/>
  <c r="AQ161"/>
  <c r="X161"/>
  <c r="BE160"/>
  <c r="BC160"/>
  <c r="BD160" s="1"/>
  <c r="BB160"/>
  <c r="AU160"/>
  <c r="AT160"/>
  <c r="AR160"/>
  <c r="AQ160"/>
  <c r="Y160"/>
  <c r="AW160" s="1"/>
  <c r="AZ160" s="1"/>
  <c r="X160"/>
  <c r="BE159"/>
  <c r="BC159"/>
  <c r="BD159" s="1"/>
  <c r="BB159"/>
  <c r="AU159"/>
  <c r="AT159"/>
  <c r="AR159"/>
  <c r="AQ159"/>
  <c r="Y159"/>
  <c r="AW159" s="1"/>
  <c r="AZ159" s="1"/>
  <c r="X159"/>
  <c r="BE158"/>
  <c r="BD158"/>
  <c r="BC158"/>
  <c r="BB158"/>
  <c r="AU158"/>
  <c r="AT158"/>
  <c r="AR158"/>
  <c r="Y158" s="1"/>
  <c r="AQ158"/>
  <c r="X158"/>
  <c r="BE157"/>
  <c r="BD157"/>
  <c r="BC157"/>
  <c r="BB157"/>
  <c r="AU157"/>
  <c r="AT157"/>
  <c r="AR157"/>
  <c r="Y157" s="1"/>
  <c r="AQ157"/>
  <c r="X157"/>
  <c r="BE156"/>
  <c r="BC156"/>
  <c r="BD156" s="1"/>
  <c r="BB156"/>
  <c r="AU156"/>
  <c r="AT156"/>
  <c r="AR156"/>
  <c r="AQ156"/>
  <c r="Y156"/>
  <c r="AW156" s="1"/>
  <c r="AZ156" s="1"/>
  <c r="X156"/>
  <c r="BE155"/>
  <c r="BC155"/>
  <c r="BD155" s="1"/>
  <c r="BB155"/>
  <c r="AU155"/>
  <c r="AT155"/>
  <c r="AR155"/>
  <c r="AQ155"/>
  <c r="Y155"/>
  <c r="AW155" s="1"/>
  <c r="AZ155" s="1"/>
  <c r="X155"/>
  <c r="BE154"/>
  <c r="BD154"/>
  <c r="BC154"/>
  <c r="BB154"/>
  <c r="AU154"/>
  <c r="AT154"/>
  <c r="AR154"/>
  <c r="Y154" s="1"/>
  <c r="AQ154"/>
  <c r="X154"/>
  <c r="BE153"/>
  <c r="BD153"/>
  <c r="BC153"/>
  <c r="BB153"/>
  <c r="AU153"/>
  <c r="AT153"/>
  <c r="AR153"/>
  <c r="Y153" s="1"/>
  <c r="AQ153"/>
  <c r="X153"/>
  <c r="BE152"/>
  <c r="BC152"/>
  <c r="BD152" s="1"/>
  <c r="BB152"/>
  <c r="AU152"/>
  <c r="AT152"/>
  <c r="AR152"/>
  <c r="AQ152"/>
  <c r="Y152"/>
  <c r="AW152" s="1"/>
  <c r="AZ152" s="1"/>
  <c r="X152"/>
  <c r="BE151"/>
  <c r="BC151"/>
  <c r="BD151" s="1"/>
  <c r="BB151"/>
  <c r="AU151"/>
  <c r="AT151"/>
  <c r="AR151"/>
  <c r="AQ151"/>
  <c r="Y151"/>
  <c r="AW151" s="1"/>
  <c r="AZ151" s="1"/>
  <c r="X151"/>
  <c r="BE150"/>
  <c r="BD150"/>
  <c r="BC150"/>
  <c r="BB150"/>
  <c r="AU150"/>
  <c r="AT150"/>
  <c r="AR150"/>
  <c r="Y150" s="1"/>
  <c r="AQ150"/>
  <c r="X150"/>
  <c r="BE149"/>
  <c r="BD149"/>
  <c r="BC149"/>
  <c r="BB149"/>
  <c r="AU149"/>
  <c r="AT149"/>
  <c r="AR149"/>
  <c r="Y149" s="1"/>
  <c r="AQ149"/>
  <c r="X149"/>
  <c r="BE148"/>
  <c r="BC148"/>
  <c r="BD148" s="1"/>
  <c r="BB148"/>
  <c r="AU148"/>
  <c r="AT148"/>
  <c r="AR148"/>
  <c r="AQ148"/>
  <c r="Y148"/>
  <c r="AW148" s="1"/>
  <c r="AZ148" s="1"/>
  <c r="X148"/>
  <c r="BE147"/>
  <c r="BC147"/>
  <c r="BD147" s="1"/>
  <c r="BB147"/>
  <c r="AU147"/>
  <c r="AT147"/>
  <c r="AR147"/>
  <c r="AQ147"/>
  <c r="Y147"/>
  <c r="AW147" s="1"/>
  <c r="AZ147" s="1"/>
  <c r="X147"/>
  <c r="BE146"/>
  <c r="BD146"/>
  <c r="BC146"/>
  <c r="BB146"/>
  <c r="AU146"/>
  <c r="AT146"/>
  <c r="AR146"/>
  <c r="Y146" s="1"/>
  <c r="AQ146"/>
  <c r="X146"/>
  <c r="BE145"/>
  <c r="BD145"/>
  <c r="BC145"/>
  <c r="BB145"/>
  <c r="AU145"/>
  <c r="AT145"/>
  <c r="AR145"/>
  <c r="Y145" s="1"/>
  <c r="AQ145"/>
  <c r="X145"/>
  <c r="BE144"/>
  <c r="BC144"/>
  <c r="BD144" s="1"/>
  <c r="BB144"/>
  <c r="AU144"/>
  <c r="AT144"/>
  <c r="AR144"/>
  <c r="AQ144"/>
  <c r="Y144"/>
  <c r="AW144" s="1"/>
  <c r="AZ144" s="1"/>
  <c r="X144"/>
  <c r="BE143"/>
  <c r="BC143"/>
  <c r="BD143" s="1"/>
  <c r="BB143"/>
  <c r="AU143"/>
  <c r="AT143"/>
  <c r="AR143"/>
  <c r="AQ143"/>
  <c r="Y143"/>
  <c r="AW143" s="1"/>
  <c r="AZ143" s="1"/>
  <c r="X143"/>
  <c r="BE142"/>
  <c r="BD142"/>
  <c r="BC142"/>
  <c r="BB142"/>
  <c r="AU142"/>
  <c r="AT142"/>
  <c r="AR142"/>
  <c r="Y142" s="1"/>
  <c r="AQ142"/>
  <c r="X142"/>
  <c r="BE141"/>
  <c r="BD141"/>
  <c r="BC141"/>
  <c r="BB141"/>
  <c r="AU141"/>
  <c r="AT141"/>
  <c r="AR141"/>
  <c r="Y141" s="1"/>
  <c r="AQ141"/>
  <c r="X141"/>
  <c r="BE140"/>
  <c r="BC140"/>
  <c r="BD140" s="1"/>
  <c r="BB140"/>
  <c r="AU140"/>
  <c r="AT140"/>
  <c r="AR140"/>
  <c r="AQ140"/>
  <c r="Y140"/>
  <c r="AW140" s="1"/>
  <c r="AZ140" s="1"/>
  <c r="X140"/>
  <c r="BE139"/>
  <c r="BC139"/>
  <c r="BD139" s="1"/>
  <c r="BB139"/>
  <c r="AU139"/>
  <c r="AT139"/>
  <c r="AR139"/>
  <c r="AQ139"/>
  <c r="Y139"/>
  <c r="AW139" s="1"/>
  <c r="AZ139" s="1"/>
  <c r="X139"/>
  <c r="BE138"/>
  <c r="BD138"/>
  <c r="BC138"/>
  <c r="BB138"/>
  <c r="AU138"/>
  <c r="AT138"/>
  <c r="AR138"/>
  <c r="Y138" s="1"/>
  <c r="AQ138"/>
  <c r="X138"/>
  <c r="BE137"/>
  <c r="BD137"/>
  <c r="BC137"/>
  <c r="BB137"/>
  <c r="AU137"/>
  <c r="AT137"/>
  <c r="AR137"/>
  <c r="Y137" s="1"/>
  <c r="AQ137"/>
  <c r="X137"/>
  <c r="BE136"/>
  <c r="BC136"/>
  <c r="BD136" s="1"/>
  <c r="BB136"/>
  <c r="AU136"/>
  <c r="AT136"/>
  <c r="AR136"/>
  <c r="AQ136"/>
  <c r="Y136"/>
  <c r="AW136" s="1"/>
  <c r="AZ136" s="1"/>
  <c r="X136"/>
  <c r="BE135"/>
  <c r="BC135"/>
  <c r="BD135" s="1"/>
  <c r="BB135"/>
  <c r="AU135"/>
  <c r="AT135"/>
  <c r="AR135"/>
  <c r="AQ135"/>
  <c r="Y135"/>
  <c r="AW135" s="1"/>
  <c r="AZ135" s="1"/>
  <c r="X135"/>
  <c r="BE134"/>
  <c r="BD134"/>
  <c r="BC134"/>
  <c r="BB134"/>
  <c r="AU134"/>
  <c r="AT134"/>
  <c r="AR134"/>
  <c r="Y134" s="1"/>
  <c r="AQ134"/>
  <c r="X134"/>
  <c r="BE133"/>
  <c r="BD133"/>
  <c r="BC133"/>
  <c r="BB133"/>
  <c r="AU133"/>
  <c r="AT133"/>
  <c r="AR133"/>
  <c r="Y133" s="1"/>
  <c r="AQ133"/>
  <c r="X133"/>
  <c r="BE132"/>
  <c r="BC132"/>
  <c r="BD132" s="1"/>
  <c r="BB132"/>
  <c r="AU132"/>
  <c r="AT132"/>
  <c r="AR132"/>
  <c r="AQ132"/>
  <c r="Y132"/>
  <c r="AW132" s="1"/>
  <c r="AZ132" s="1"/>
  <c r="X132"/>
  <c r="BE131"/>
  <c r="BC131"/>
  <c r="BD131" s="1"/>
  <c r="BB131"/>
  <c r="AU131"/>
  <c r="AT131"/>
  <c r="AR131"/>
  <c r="AQ131"/>
  <c r="Y131"/>
  <c r="AW131" s="1"/>
  <c r="AZ131" s="1"/>
  <c r="X131"/>
  <c r="BE130"/>
  <c r="BD130"/>
  <c r="BC130"/>
  <c r="BB130"/>
  <c r="AU130"/>
  <c r="AT130"/>
  <c r="AR130"/>
  <c r="Y130" s="1"/>
  <c r="AQ130"/>
  <c r="X130"/>
  <c r="BE129"/>
  <c r="BD129"/>
  <c r="BC129"/>
  <c r="BB129"/>
  <c r="AU129"/>
  <c r="AT129"/>
  <c r="AR129"/>
  <c r="Y129" s="1"/>
  <c r="AQ129"/>
  <c r="X129"/>
  <c r="BE128"/>
  <c r="BC128"/>
  <c r="BD128" s="1"/>
  <c r="BB128"/>
  <c r="AU128"/>
  <c r="AT128"/>
  <c r="AR128"/>
  <c r="AQ128"/>
  <c r="Y128"/>
  <c r="AW128" s="1"/>
  <c r="AZ128" s="1"/>
  <c r="X128"/>
  <c r="BE127"/>
  <c r="BC127"/>
  <c r="BD127" s="1"/>
  <c r="BB127"/>
  <c r="AU127"/>
  <c r="AT127"/>
  <c r="AR127"/>
  <c r="AQ127"/>
  <c r="Y127"/>
  <c r="AW127" s="1"/>
  <c r="AZ127" s="1"/>
  <c r="X127"/>
  <c r="BE126"/>
  <c r="BD126"/>
  <c r="BC126"/>
  <c r="BB126"/>
  <c r="AU126"/>
  <c r="AT126"/>
  <c r="AR126"/>
  <c r="Y126" s="1"/>
  <c r="AQ126"/>
  <c r="X126"/>
  <c r="BE125"/>
  <c r="BD125"/>
  <c r="BC125"/>
  <c r="BB125"/>
  <c r="AU125"/>
  <c r="AT125"/>
  <c r="AR125"/>
  <c r="Y125" s="1"/>
  <c r="AQ125"/>
  <c r="X125"/>
  <c r="BE124"/>
  <c r="BC124"/>
  <c r="BD124" s="1"/>
  <c r="BB124"/>
  <c r="AU124"/>
  <c r="AT124"/>
  <c r="AR124"/>
  <c r="AQ124"/>
  <c r="Y124"/>
  <c r="AW124" s="1"/>
  <c r="AZ124" s="1"/>
  <c r="X124"/>
  <c r="BE123"/>
  <c r="BC123"/>
  <c r="BD123" s="1"/>
  <c r="BB123"/>
  <c r="AU123"/>
  <c r="AT123"/>
  <c r="AR123"/>
  <c r="AQ123"/>
  <c r="Y123"/>
  <c r="AW123" s="1"/>
  <c r="AZ123" s="1"/>
  <c r="X123"/>
  <c r="BE122"/>
  <c r="BD122"/>
  <c r="BC122"/>
  <c r="BB122"/>
  <c r="AU122"/>
  <c r="AT122"/>
  <c r="AR122"/>
  <c r="Y122" s="1"/>
  <c r="AQ122"/>
  <c r="X122"/>
  <c r="BE121"/>
  <c r="BD121"/>
  <c r="BC121"/>
  <c r="BB121"/>
  <c r="AU121"/>
  <c r="AT121"/>
  <c r="AR121"/>
  <c r="Y121" s="1"/>
  <c r="AQ121"/>
  <c r="X121"/>
  <c r="BE120"/>
  <c r="BC120"/>
  <c r="BD120" s="1"/>
  <c r="BB120"/>
  <c r="AU120"/>
  <c r="AT120"/>
  <c r="AR120"/>
  <c r="AQ120"/>
  <c r="Y120"/>
  <c r="AW120" s="1"/>
  <c r="AZ120" s="1"/>
  <c r="X120"/>
  <c r="BE119"/>
  <c r="BC119"/>
  <c r="BD119" s="1"/>
  <c r="BB119"/>
  <c r="AU119"/>
  <c r="AT119"/>
  <c r="AR119"/>
  <c r="AQ119"/>
  <c r="Y119"/>
  <c r="AW119" s="1"/>
  <c r="AZ119" s="1"/>
  <c r="X119"/>
  <c r="BE118"/>
  <c r="BD118"/>
  <c r="BC118"/>
  <c r="BB118"/>
  <c r="AU118"/>
  <c r="AT118"/>
  <c r="AR118"/>
  <c r="Y118" s="1"/>
  <c r="AQ118"/>
  <c r="X118"/>
  <c r="BE117"/>
  <c r="BD117"/>
  <c r="BC117"/>
  <c r="BB117"/>
  <c r="AU117"/>
  <c r="AT117"/>
  <c r="AR117"/>
  <c r="Y117" s="1"/>
  <c r="AQ117"/>
  <c r="X117"/>
  <c r="BE116"/>
  <c r="BC116"/>
  <c r="BD116" s="1"/>
  <c r="BB116"/>
  <c r="AU116"/>
  <c r="AT116"/>
  <c r="AR116"/>
  <c r="AQ116"/>
  <c r="Y116"/>
  <c r="AW116" s="1"/>
  <c r="AZ116" s="1"/>
  <c r="X116"/>
  <c r="BE115"/>
  <c r="BC115"/>
  <c r="BD115" s="1"/>
  <c r="BB115"/>
  <c r="AU115"/>
  <c r="AT115"/>
  <c r="AR115"/>
  <c r="AQ115"/>
  <c r="Y115"/>
  <c r="AW115" s="1"/>
  <c r="AZ115" s="1"/>
  <c r="X115"/>
  <c r="BE114"/>
  <c r="BD114"/>
  <c r="BC114"/>
  <c r="BB114"/>
  <c r="AU114"/>
  <c r="AT114"/>
  <c r="AR114"/>
  <c r="Y114" s="1"/>
  <c r="AQ114"/>
  <c r="X114"/>
  <c r="BE113"/>
  <c r="BD113"/>
  <c r="BC113"/>
  <c r="BB113"/>
  <c r="AU113"/>
  <c r="AT113"/>
  <c r="AR113"/>
  <c r="Y113" s="1"/>
  <c r="AQ113"/>
  <c r="X113"/>
  <c r="BE112"/>
  <c r="BC112"/>
  <c r="BD112" s="1"/>
  <c r="BB112"/>
  <c r="AU112"/>
  <c r="AT112"/>
  <c r="AR112"/>
  <c r="AQ112"/>
  <c r="Y112"/>
  <c r="AW112" s="1"/>
  <c r="AZ112" s="1"/>
  <c r="X112"/>
  <c r="BE111"/>
  <c r="BC111"/>
  <c r="BD111" s="1"/>
  <c r="BB111"/>
  <c r="AU111"/>
  <c r="AT111"/>
  <c r="AR111"/>
  <c r="AQ111"/>
  <c r="Y111"/>
  <c r="AW111" s="1"/>
  <c r="AZ111" s="1"/>
  <c r="X111"/>
  <c r="BE110"/>
  <c r="BD110"/>
  <c r="BC110"/>
  <c r="BB110"/>
  <c r="AU110"/>
  <c r="AT110"/>
  <c r="AR110"/>
  <c r="Y110" s="1"/>
  <c r="AQ110"/>
  <c r="X110"/>
  <c r="BE109"/>
  <c r="BD109"/>
  <c r="BC109"/>
  <c r="BB109"/>
  <c r="AU109"/>
  <c r="AT109"/>
  <c r="AR109"/>
  <c r="Y109" s="1"/>
  <c r="AQ109"/>
  <c r="X109"/>
  <c r="BE108"/>
  <c r="BC108"/>
  <c r="BD108" s="1"/>
  <c r="BB108"/>
  <c r="AU108"/>
  <c r="AT108"/>
  <c r="AR108"/>
  <c r="AQ108"/>
  <c r="Y108"/>
  <c r="AW108" s="1"/>
  <c r="AZ108" s="1"/>
  <c r="X108"/>
  <c r="BE107"/>
  <c r="BC107"/>
  <c r="BD107" s="1"/>
  <c r="BB107"/>
  <c r="AU107"/>
  <c r="AT107"/>
  <c r="AR107"/>
  <c r="AQ107"/>
  <c r="Y107"/>
  <c r="AW107" s="1"/>
  <c r="AZ107" s="1"/>
  <c r="X107"/>
  <c r="BE106"/>
  <c r="BD106"/>
  <c r="BC106"/>
  <c r="BB106"/>
  <c r="AU106"/>
  <c r="AT106"/>
  <c r="AR106"/>
  <c r="Y106" s="1"/>
  <c r="AQ106"/>
  <c r="X106"/>
  <c r="BE105"/>
  <c r="BD105"/>
  <c r="BC105"/>
  <c r="BB105"/>
  <c r="AU105"/>
  <c r="AT105"/>
  <c r="AR105"/>
  <c r="Y105" s="1"/>
  <c r="AQ105"/>
  <c r="X105"/>
  <c r="BE104"/>
  <c r="BD104"/>
  <c r="BC104"/>
  <c r="BB104"/>
  <c r="AU104"/>
  <c r="AT104"/>
  <c r="AR104"/>
  <c r="AQ104"/>
  <c r="Y104"/>
  <c r="AW104" s="1"/>
  <c r="AZ104" s="1"/>
  <c r="X104"/>
  <c r="BE103"/>
  <c r="BC103"/>
  <c r="BD103" s="1"/>
  <c r="BB103"/>
  <c r="AU103"/>
  <c r="AT103"/>
  <c r="AR103"/>
  <c r="AQ103"/>
  <c r="Y103"/>
  <c r="AW103" s="1"/>
  <c r="AZ103" s="1"/>
  <c r="X103"/>
  <c r="BE102"/>
  <c r="BD102"/>
  <c r="BC102"/>
  <c r="BB102"/>
  <c r="AU102"/>
  <c r="AT102"/>
  <c r="AR102"/>
  <c r="Y102" s="1"/>
  <c r="AQ102"/>
  <c r="X102"/>
  <c r="BE101"/>
  <c r="BD101"/>
  <c r="BC101"/>
  <c r="BB101"/>
  <c r="AU101"/>
  <c r="AT101"/>
  <c r="AR101"/>
  <c r="Y101" s="1"/>
  <c r="AQ101"/>
  <c r="X101"/>
  <c r="BE100"/>
  <c r="BC100"/>
  <c r="BD100" s="1"/>
  <c r="BB100"/>
  <c r="AU100"/>
  <c r="AT100"/>
  <c r="AR100"/>
  <c r="AQ100"/>
  <c r="Y100"/>
  <c r="AW100" s="1"/>
  <c r="AZ100" s="1"/>
  <c r="X100"/>
  <c r="BE99"/>
  <c r="BC99"/>
  <c r="BD99" s="1"/>
  <c r="BB99"/>
  <c r="AU99"/>
  <c r="AT99"/>
  <c r="AR99"/>
  <c r="AQ99"/>
  <c r="Y99"/>
  <c r="AW99" s="1"/>
  <c r="AZ99" s="1"/>
  <c r="X99"/>
  <c r="BE98"/>
  <c r="BD98"/>
  <c r="BC98"/>
  <c r="BB98"/>
  <c r="AU98"/>
  <c r="AT98"/>
  <c r="AR98"/>
  <c r="Y98" s="1"/>
  <c r="AQ98"/>
  <c r="X98"/>
  <c r="BE97"/>
  <c r="BD97"/>
  <c r="BC97"/>
  <c r="BB97"/>
  <c r="AU97"/>
  <c r="AT97"/>
  <c r="AR97"/>
  <c r="Y97" s="1"/>
  <c r="AQ97"/>
  <c r="X97"/>
  <c r="BE96"/>
  <c r="BC96"/>
  <c r="BD96" s="1"/>
  <c r="BB96"/>
  <c r="AU96"/>
  <c r="AT96"/>
  <c r="AR96"/>
  <c r="AQ96"/>
  <c r="Y96"/>
  <c r="AW96" s="1"/>
  <c r="AZ96" s="1"/>
  <c r="X96"/>
  <c r="BE95"/>
  <c r="BC95"/>
  <c r="BD95" s="1"/>
  <c r="BB95"/>
  <c r="AU95"/>
  <c r="AT95"/>
  <c r="AR95"/>
  <c r="AQ95"/>
  <c r="Y95"/>
  <c r="AW95" s="1"/>
  <c r="AZ95" s="1"/>
  <c r="X95"/>
  <c r="BE94"/>
  <c r="BD94"/>
  <c r="BC94"/>
  <c r="BB94"/>
  <c r="AU94"/>
  <c r="AT94"/>
  <c r="AR94"/>
  <c r="Y94" s="1"/>
  <c r="AQ94"/>
  <c r="X94"/>
  <c r="BE93"/>
  <c r="BD93"/>
  <c r="BC93"/>
  <c r="BB93"/>
  <c r="AU93"/>
  <c r="AT93"/>
  <c r="AR93"/>
  <c r="Y93" s="1"/>
  <c r="AQ93"/>
  <c r="X93"/>
  <c r="BE92"/>
  <c r="BC92"/>
  <c r="BD92" s="1"/>
  <c r="BB92"/>
  <c r="AU92"/>
  <c r="AT92"/>
  <c r="AR92"/>
  <c r="AQ92"/>
  <c r="Y92"/>
  <c r="AW92" s="1"/>
  <c r="AZ92" s="1"/>
  <c r="X92"/>
  <c r="BE91"/>
  <c r="BC91"/>
  <c r="BD91" s="1"/>
  <c r="BB91"/>
  <c r="AU91"/>
  <c r="AT91"/>
  <c r="AR91"/>
  <c r="AQ91"/>
  <c r="Y91"/>
  <c r="AW91" s="1"/>
  <c r="AZ91" s="1"/>
  <c r="X91"/>
  <c r="BE90"/>
  <c r="BD90"/>
  <c r="BC90"/>
  <c r="BB90"/>
  <c r="AU90"/>
  <c r="AT90"/>
  <c r="AR90"/>
  <c r="Y90" s="1"/>
  <c r="AQ90"/>
  <c r="X90"/>
  <c r="BE89"/>
  <c r="BD89"/>
  <c r="BC89"/>
  <c r="BB89"/>
  <c r="AU89"/>
  <c r="AT89"/>
  <c r="AR89"/>
  <c r="Y89" s="1"/>
  <c r="AQ89"/>
  <c r="X89"/>
  <c r="BE88"/>
  <c r="BD88"/>
  <c r="BC88"/>
  <c r="BB88"/>
  <c r="AU88"/>
  <c r="AT88"/>
  <c r="AR88"/>
  <c r="AQ88"/>
  <c r="Y88"/>
  <c r="X88"/>
  <c r="BE87"/>
  <c r="BC87"/>
  <c r="BD87" s="1"/>
  <c r="BB87"/>
  <c r="AU87"/>
  <c r="AT87"/>
  <c r="AR87"/>
  <c r="AQ87"/>
  <c r="Y87"/>
  <c r="X87"/>
  <c r="BE86"/>
  <c r="BD86"/>
  <c r="BC86"/>
  <c r="BB86"/>
  <c r="AU86"/>
  <c r="AT86"/>
  <c r="AR86"/>
  <c r="Y86" s="1"/>
  <c r="AQ86"/>
  <c r="X86"/>
  <c r="BE85"/>
  <c r="BD85"/>
  <c r="BC85"/>
  <c r="BB85"/>
  <c r="AZ85"/>
  <c r="AW85"/>
  <c r="AU85"/>
  <c r="AT85"/>
  <c r="AS85"/>
  <c r="AV85" s="1"/>
  <c r="AR85"/>
  <c r="Y85" s="1"/>
  <c r="AQ85"/>
  <c r="X85"/>
  <c r="BE84"/>
  <c r="BC84"/>
  <c r="BD84" s="1"/>
  <c r="BB84"/>
  <c r="AU84"/>
  <c r="AT84"/>
  <c r="AR84"/>
  <c r="AQ84"/>
  <c r="Y84"/>
  <c r="AW84" s="1"/>
  <c r="AZ84" s="1"/>
  <c r="X84"/>
  <c r="BE83"/>
  <c r="BC83"/>
  <c r="BD83" s="1"/>
  <c r="BB83"/>
  <c r="AU83"/>
  <c r="AT83"/>
  <c r="AR83"/>
  <c r="AQ83"/>
  <c r="Y83"/>
  <c r="X83"/>
  <c r="BE82"/>
  <c r="BC82"/>
  <c r="BD82" s="1"/>
  <c r="BB82"/>
  <c r="AU82"/>
  <c r="AT82"/>
  <c r="AR82"/>
  <c r="Y82" s="1"/>
  <c r="AQ82"/>
  <c r="X82"/>
  <c r="BE81"/>
  <c r="BD81"/>
  <c r="BC81"/>
  <c r="BB81"/>
  <c r="AU81"/>
  <c r="AT81"/>
  <c r="AR81"/>
  <c r="Y81" s="1"/>
  <c r="AW81" s="1"/>
  <c r="AZ81" s="1"/>
  <c r="AQ81"/>
  <c r="X81"/>
  <c r="BE80"/>
  <c r="BC80"/>
  <c r="BD80" s="1"/>
  <c r="BB80"/>
  <c r="AW80"/>
  <c r="AZ80" s="1"/>
  <c r="AU80"/>
  <c r="AT80"/>
  <c r="AS80"/>
  <c r="AR80"/>
  <c r="AQ80"/>
  <c r="Y80"/>
  <c r="X80"/>
  <c r="BE79"/>
  <c r="BC79"/>
  <c r="BD79" s="1"/>
  <c r="BB79"/>
  <c r="AU79"/>
  <c r="AT79"/>
  <c r="AR79"/>
  <c r="AQ79"/>
  <c r="Y79"/>
  <c r="X79"/>
  <c r="BE78"/>
  <c r="BD78"/>
  <c r="BC78"/>
  <c r="BB78"/>
  <c r="AU78"/>
  <c r="AT78"/>
  <c r="AR78"/>
  <c r="Y78" s="1"/>
  <c r="AQ78"/>
  <c r="X78"/>
  <c r="BE77"/>
  <c r="BD77"/>
  <c r="BC77"/>
  <c r="BB77"/>
  <c r="AZ77"/>
  <c r="AW77"/>
  <c r="AU77"/>
  <c r="AT77"/>
  <c r="AS77"/>
  <c r="AV77" s="1"/>
  <c r="AR77"/>
  <c r="Y77" s="1"/>
  <c r="AQ77"/>
  <c r="X77"/>
  <c r="BE76"/>
  <c r="BC76"/>
  <c r="BD76" s="1"/>
  <c r="BB76"/>
  <c r="AU76"/>
  <c r="AT76"/>
  <c r="AR76"/>
  <c r="AQ76"/>
  <c r="Y76"/>
  <c r="AW76" s="1"/>
  <c r="AZ76" s="1"/>
  <c r="X76"/>
  <c r="BE75"/>
  <c r="BC75"/>
  <c r="BD75" s="1"/>
  <c r="BB75"/>
  <c r="AU75"/>
  <c r="AT75"/>
  <c r="AR75"/>
  <c r="AQ75"/>
  <c r="Y75"/>
  <c r="X75"/>
  <c r="BE74"/>
  <c r="BC74"/>
  <c r="BD74" s="1"/>
  <c r="BB74"/>
  <c r="AU74"/>
  <c r="AT74"/>
  <c r="AR74"/>
  <c r="Y74" s="1"/>
  <c r="AQ74"/>
  <c r="X74"/>
  <c r="BE73"/>
  <c r="BD73"/>
  <c r="BC73"/>
  <c r="BB73"/>
  <c r="AU73"/>
  <c r="AT73"/>
  <c r="AR73"/>
  <c r="Y73" s="1"/>
  <c r="AW73" s="1"/>
  <c r="AZ73" s="1"/>
  <c r="AQ73"/>
  <c r="X73"/>
  <c r="BE72"/>
  <c r="BC72"/>
  <c r="BD72" s="1"/>
  <c r="BB72"/>
  <c r="AW72"/>
  <c r="AZ72" s="1"/>
  <c r="AU72"/>
  <c r="AT72"/>
  <c r="AS72"/>
  <c r="AR72"/>
  <c r="AQ72"/>
  <c r="Y72"/>
  <c r="X72"/>
  <c r="BE71"/>
  <c r="BC71"/>
  <c r="BD71" s="1"/>
  <c r="BB71"/>
  <c r="AU71"/>
  <c r="AT71"/>
  <c r="AR71"/>
  <c r="AQ71"/>
  <c r="Y71"/>
  <c r="X71"/>
  <c r="BE70"/>
  <c r="BD70"/>
  <c r="BC70"/>
  <c r="BB70"/>
  <c r="AU70"/>
  <c r="AT70"/>
  <c r="AR70"/>
  <c r="Y70" s="1"/>
  <c r="AQ70"/>
  <c r="X70"/>
  <c r="BE69"/>
  <c r="BD69"/>
  <c r="BC69"/>
  <c r="BB69"/>
  <c r="AZ69"/>
  <c r="AW69"/>
  <c r="AU69"/>
  <c r="AT69"/>
  <c r="AS69"/>
  <c r="AV69" s="1"/>
  <c r="AR69"/>
  <c r="Y69" s="1"/>
  <c r="AQ69"/>
  <c r="X69"/>
  <c r="BE68"/>
  <c r="BC68"/>
  <c r="BD68" s="1"/>
  <c r="BB68"/>
  <c r="AU68"/>
  <c r="AT68"/>
  <c r="AR68"/>
  <c r="AQ68"/>
  <c r="Y68"/>
  <c r="AW68" s="1"/>
  <c r="AZ68" s="1"/>
  <c r="X68"/>
  <c r="BE67"/>
  <c r="BC67"/>
  <c r="BD67" s="1"/>
  <c r="BB67"/>
  <c r="AU67"/>
  <c r="AT67"/>
  <c r="BA67" s="1"/>
  <c r="AR67"/>
  <c r="Y67" s="1"/>
  <c r="AQ67"/>
  <c r="X67"/>
  <c r="BE66"/>
  <c r="BD66"/>
  <c r="BC66"/>
  <c r="BB66"/>
  <c r="AU66"/>
  <c r="AT66"/>
  <c r="AR66"/>
  <c r="Y66" s="1"/>
  <c r="AQ66"/>
  <c r="X66"/>
  <c r="BE65"/>
  <c r="BD65"/>
  <c r="BC65"/>
  <c r="BB65"/>
  <c r="AW65"/>
  <c r="AZ65" s="1"/>
  <c r="AU65"/>
  <c r="AT65"/>
  <c r="AS65"/>
  <c r="AR65"/>
  <c r="AQ65"/>
  <c r="Y65"/>
  <c r="X65"/>
  <c r="BE64"/>
  <c r="BC64"/>
  <c r="BD64" s="1"/>
  <c r="BB64"/>
  <c r="AU64"/>
  <c r="AT64"/>
  <c r="AR64"/>
  <c r="AQ64"/>
  <c r="Y64"/>
  <c r="AW64" s="1"/>
  <c r="AZ64" s="1"/>
  <c r="X64"/>
  <c r="BE63"/>
  <c r="BC63"/>
  <c r="BD63" s="1"/>
  <c r="BB63"/>
  <c r="AU63"/>
  <c r="AT63"/>
  <c r="BA63" s="1"/>
  <c r="AR63"/>
  <c r="Y63" s="1"/>
  <c r="AQ63"/>
  <c r="X63"/>
  <c r="BE62"/>
  <c r="BD62"/>
  <c r="BC62"/>
  <c r="BB62"/>
  <c r="AU62"/>
  <c r="AT62"/>
  <c r="AR62"/>
  <c r="Y62" s="1"/>
  <c r="AQ62"/>
  <c r="X62"/>
  <c r="BE61"/>
  <c r="BD61"/>
  <c r="BC61"/>
  <c r="BB61"/>
  <c r="AW61"/>
  <c r="AZ61" s="1"/>
  <c r="AU61"/>
  <c r="AT61"/>
  <c r="AS61"/>
  <c r="AR61"/>
  <c r="AQ61"/>
  <c r="Y61"/>
  <c r="X61"/>
  <c r="BE60"/>
  <c r="BC60"/>
  <c r="BD60" s="1"/>
  <c r="BB60"/>
  <c r="AU60"/>
  <c r="AT60"/>
  <c r="AR60"/>
  <c r="AQ60"/>
  <c r="Y60"/>
  <c r="AW60" s="1"/>
  <c r="AZ60" s="1"/>
  <c r="X60"/>
  <c r="BE59"/>
  <c r="BC59"/>
  <c r="BD59" s="1"/>
  <c r="BB59"/>
  <c r="AU59"/>
  <c r="AT59"/>
  <c r="BA59" s="1"/>
  <c r="AR59"/>
  <c r="Y59" s="1"/>
  <c r="AQ59"/>
  <c r="X59"/>
  <c r="BE58"/>
  <c r="BD58"/>
  <c r="BC58"/>
  <c r="BB58"/>
  <c r="AU58"/>
  <c r="AT58"/>
  <c r="AR58"/>
  <c r="Y58" s="1"/>
  <c r="AQ58"/>
  <c r="X58"/>
  <c r="BE57"/>
  <c r="BD57"/>
  <c r="BC57"/>
  <c r="BB57"/>
  <c r="AW57"/>
  <c r="AZ57" s="1"/>
  <c r="AU57"/>
  <c r="AT57"/>
  <c r="AS57"/>
  <c r="AR57"/>
  <c r="AQ57"/>
  <c r="Y57"/>
  <c r="X57"/>
  <c r="BE56"/>
  <c r="BC56"/>
  <c r="BD56" s="1"/>
  <c r="BB56"/>
  <c r="AU56"/>
  <c r="AT56"/>
  <c r="AR56"/>
  <c r="AQ56"/>
  <c r="Y56"/>
  <c r="AW56" s="1"/>
  <c r="AZ56" s="1"/>
  <c r="X56"/>
  <c r="BE55"/>
  <c r="BC55"/>
  <c r="BD55" s="1"/>
  <c r="BB55"/>
  <c r="AU55"/>
  <c r="AT55"/>
  <c r="BA55" s="1"/>
  <c r="AR55"/>
  <c r="Y55" s="1"/>
  <c r="AQ55"/>
  <c r="X55"/>
  <c r="BE54"/>
  <c r="BD54"/>
  <c r="BC54"/>
  <c r="BB54"/>
  <c r="AU54"/>
  <c r="AT54"/>
  <c r="AR54"/>
  <c r="Y54" s="1"/>
  <c r="AQ54"/>
  <c r="X54"/>
  <c r="BE53"/>
  <c r="BD53"/>
  <c r="BC53"/>
  <c r="BB53"/>
  <c r="AW53"/>
  <c r="AZ53" s="1"/>
  <c r="AU53"/>
  <c r="AT53"/>
  <c r="AS53"/>
  <c r="AR53"/>
  <c r="AQ53"/>
  <c r="Y53"/>
  <c r="X53"/>
  <c r="BE52"/>
  <c r="BC52"/>
  <c r="BD52" s="1"/>
  <c r="BB52"/>
  <c r="AU52"/>
  <c r="AT52"/>
  <c r="AR52"/>
  <c r="AQ52"/>
  <c r="Y52"/>
  <c r="AW52" s="1"/>
  <c r="AZ52" s="1"/>
  <c r="X52"/>
  <c r="BE51"/>
  <c r="BC51"/>
  <c r="BD51" s="1"/>
  <c r="BB51"/>
  <c r="AU51"/>
  <c r="AT51"/>
  <c r="BA51" s="1"/>
  <c r="AR51"/>
  <c r="Y51" s="1"/>
  <c r="AQ51"/>
  <c r="X51"/>
  <c r="BE50"/>
  <c r="BD50"/>
  <c r="BC50"/>
  <c r="BB50"/>
  <c r="AU50"/>
  <c r="AT50"/>
  <c r="AR50"/>
  <c r="Y50" s="1"/>
  <c r="AQ50"/>
  <c r="X50"/>
  <c r="BE49"/>
  <c r="BD49"/>
  <c r="BC49"/>
  <c r="BB49"/>
  <c r="AW49"/>
  <c r="AZ49" s="1"/>
  <c r="AU49"/>
  <c r="AT49"/>
  <c r="AS49"/>
  <c r="AR49"/>
  <c r="AQ49"/>
  <c r="Y49"/>
  <c r="X49"/>
  <c r="BE48"/>
  <c r="BC48"/>
  <c r="BD48" s="1"/>
  <c r="BB48"/>
  <c r="AU48"/>
  <c r="AT48"/>
  <c r="AR48"/>
  <c r="AQ48"/>
  <c r="Y48"/>
  <c r="AW48" s="1"/>
  <c r="AZ48" s="1"/>
  <c r="X48"/>
  <c r="BE47"/>
  <c r="BC47"/>
  <c r="BD47" s="1"/>
  <c r="BB47"/>
  <c r="AU47"/>
  <c r="AT47"/>
  <c r="BA47" s="1"/>
  <c r="AR47"/>
  <c r="Y47" s="1"/>
  <c r="AQ47"/>
  <c r="X47"/>
  <c r="BE46"/>
  <c r="BD46"/>
  <c r="BC46"/>
  <c r="BB46"/>
  <c r="AU46"/>
  <c r="AT46"/>
  <c r="AR46"/>
  <c r="Y46" s="1"/>
  <c r="AQ46"/>
  <c r="X46"/>
  <c r="BE45"/>
  <c r="BD45"/>
  <c r="BC45"/>
  <c r="BB45"/>
  <c r="AW45"/>
  <c r="AZ45" s="1"/>
  <c r="AU45"/>
  <c r="AT45"/>
  <c r="AS45"/>
  <c r="AR45"/>
  <c r="AQ45"/>
  <c r="Y45"/>
  <c r="X45"/>
  <c r="BE44"/>
  <c r="BC44"/>
  <c r="BD44" s="1"/>
  <c r="BB44"/>
  <c r="AU44"/>
  <c r="AT44"/>
  <c r="AR44"/>
  <c r="AQ44"/>
  <c r="Y44"/>
  <c r="AW44" s="1"/>
  <c r="AZ44" s="1"/>
  <c r="X44"/>
  <c r="BE43"/>
  <c r="BC43"/>
  <c r="BD43" s="1"/>
  <c r="BB43"/>
  <c r="AU43"/>
  <c r="AT43"/>
  <c r="AR43"/>
  <c r="AQ43"/>
  <c r="Y43"/>
  <c r="AW43" s="1"/>
  <c r="AZ43" s="1"/>
  <c r="X43"/>
  <c r="BE42"/>
  <c r="BC42"/>
  <c r="BD42" s="1"/>
  <c r="BB42"/>
  <c r="AU42"/>
  <c r="AT42"/>
  <c r="BA42" s="1"/>
  <c r="AR42"/>
  <c r="Y42" s="1"/>
  <c r="AQ42"/>
  <c r="X42"/>
  <c r="BE41"/>
  <c r="BD41"/>
  <c r="BC41"/>
  <c r="BB41"/>
  <c r="AU41"/>
  <c r="AT41"/>
  <c r="AR41"/>
  <c r="Y41" s="1"/>
  <c r="AQ41"/>
  <c r="X41"/>
  <c r="BE40"/>
  <c r="BC40"/>
  <c r="BD40" s="1"/>
  <c r="BB40"/>
  <c r="AU40"/>
  <c r="AT40"/>
  <c r="BA40" s="1"/>
  <c r="AR40"/>
  <c r="Y40" s="1"/>
  <c r="AQ40"/>
  <c r="X40"/>
  <c r="BE39"/>
  <c r="BD39"/>
  <c r="BC39"/>
  <c r="BB39"/>
  <c r="AW39"/>
  <c r="AZ39" s="1"/>
  <c r="AU39"/>
  <c r="AT39"/>
  <c r="AS39"/>
  <c r="AR39"/>
  <c r="AQ39"/>
  <c r="Y39"/>
  <c r="X39"/>
  <c r="BE38"/>
  <c r="BC38"/>
  <c r="BD38" s="1"/>
  <c r="BB38"/>
  <c r="AU38"/>
  <c r="AT38"/>
  <c r="BA38" s="1"/>
  <c r="AR38"/>
  <c r="Y38" s="1"/>
  <c r="AQ38"/>
  <c r="X38"/>
  <c r="BE37"/>
  <c r="BD37"/>
  <c r="BC37"/>
  <c r="BB37"/>
  <c r="AW37"/>
  <c r="AZ37" s="1"/>
  <c r="AU37"/>
  <c r="AT37"/>
  <c r="AS37"/>
  <c r="AR37"/>
  <c r="AQ37"/>
  <c r="Y37"/>
  <c r="X37"/>
  <c r="B37"/>
  <c r="C37" s="1"/>
  <c r="BE36"/>
  <c r="BD36"/>
  <c r="BC36"/>
  <c r="BB36"/>
  <c r="AU36"/>
  <c r="AT36"/>
  <c r="AR36"/>
  <c r="AQ36"/>
  <c r="Y36"/>
  <c r="AW36" s="1"/>
  <c r="AZ36" s="1"/>
  <c r="X36"/>
  <c r="B36"/>
  <c r="BE35"/>
  <c r="BD35"/>
  <c r="BC35"/>
  <c r="BB35"/>
  <c r="AU35"/>
  <c r="AT35"/>
  <c r="BA35" s="1"/>
  <c r="AR35"/>
  <c r="Y35" s="1"/>
  <c r="AQ35"/>
  <c r="X35"/>
  <c r="B35"/>
  <c r="BE34"/>
  <c r="BD34"/>
  <c r="BC34"/>
  <c r="BB34"/>
  <c r="AU34"/>
  <c r="AT34"/>
  <c r="AR34"/>
  <c r="AQ34"/>
  <c r="Y34"/>
  <c r="AW34" s="1"/>
  <c r="AZ34" s="1"/>
  <c r="X34"/>
  <c r="BE33"/>
  <c r="BD33"/>
  <c r="BC33"/>
  <c r="BB33"/>
  <c r="AU33"/>
  <c r="AT33"/>
  <c r="BA33" s="1"/>
  <c r="AR33"/>
  <c r="Y33" s="1"/>
  <c r="AQ33"/>
  <c r="X33"/>
  <c r="BE32"/>
  <c r="BD32"/>
  <c r="BC32"/>
  <c r="BB32"/>
  <c r="AU32"/>
  <c r="AT32"/>
  <c r="BA32" s="1"/>
  <c r="AR32"/>
  <c r="Y32" s="1"/>
  <c r="AQ32"/>
  <c r="X32"/>
  <c r="BE31"/>
  <c r="BD31"/>
  <c r="BC31"/>
  <c r="BB31"/>
  <c r="AU31"/>
  <c r="AT31"/>
  <c r="AR31"/>
  <c r="AQ31"/>
  <c r="Y31"/>
  <c r="AW31" s="1"/>
  <c r="AZ31" s="1"/>
  <c r="X31"/>
  <c r="BE30"/>
  <c r="BD30"/>
  <c r="BC30"/>
  <c r="BB30"/>
  <c r="AU30"/>
  <c r="AT30"/>
  <c r="BA30" s="1"/>
  <c r="AR30"/>
  <c r="Y30" s="1"/>
  <c r="AQ30"/>
  <c r="X30"/>
  <c r="BE29"/>
  <c r="BC29"/>
  <c r="BD29" s="1"/>
  <c r="BB29"/>
  <c r="BA29"/>
  <c r="AU29"/>
  <c r="AT29"/>
  <c r="AR29"/>
  <c r="Y29" s="1"/>
  <c r="AQ29"/>
  <c r="X29"/>
  <c r="BE28"/>
  <c r="BC28"/>
  <c r="BD28" s="1"/>
  <c r="BB28"/>
  <c r="BA28"/>
  <c r="AW28"/>
  <c r="AZ28" s="1"/>
  <c r="AU28"/>
  <c r="AT28"/>
  <c r="AV28" s="1"/>
  <c r="AY28" s="1"/>
  <c r="AS28"/>
  <c r="AR28"/>
  <c r="AQ28"/>
  <c r="Y28"/>
  <c r="X28"/>
  <c r="H28"/>
  <c r="BE27"/>
  <c r="BC27"/>
  <c r="BD27" s="1"/>
  <c r="BB27"/>
  <c r="BA27"/>
  <c r="AU27"/>
  <c r="AT27"/>
  <c r="AR27"/>
  <c r="Y27" s="1"/>
  <c r="AQ27"/>
  <c r="X27"/>
  <c r="K27"/>
  <c r="B27"/>
  <c r="BE26"/>
  <c r="BC26"/>
  <c r="BD26" s="1"/>
  <c r="BB26"/>
  <c r="BA26"/>
  <c r="AU26"/>
  <c r="AT26"/>
  <c r="AR26"/>
  <c r="Y26" s="1"/>
  <c r="AQ26"/>
  <c r="X26"/>
  <c r="K26"/>
  <c r="L26" s="1"/>
  <c r="BE25"/>
  <c r="BD25"/>
  <c r="BC25"/>
  <c r="BB25"/>
  <c r="AU25"/>
  <c r="AT25"/>
  <c r="BA25" s="1"/>
  <c r="AR25"/>
  <c r="Y25" s="1"/>
  <c r="AQ25"/>
  <c r="X25"/>
  <c r="K25"/>
  <c r="H25"/>
  <c r="BE24"/>
  <c r="BC24"/>
  <c r="BD24" s="1"/>
  <c r="BB24"/>
  <c r="BA24"/>
  <c r="AW24"/>
  <c r="AZ24" s="1"/>
  <c r="AU24"/>
  <c r="AT24"/>
  <c r="AV24" s="1"/>
  <c r="AY24" s="1"/>
  <c r="AS24"/>
  <c r="AR24"/>
  <c r="AQ24"/>
  <c r="AX24" s="1"/>
  <c r="Y24"/>
  <c r="X24"/>
  <c r="BE23"/>
  <c r="BD23"/>
  <c r="BC23"/>
  <c r="BB23"/>
  <c r="AU23"/>
  <c r="AT23"/>
  <c r="BA23" s="1"/>
  <c r="AR23"/>
  <c r="Y23" s="1"/>
  <c r="AQ23"/>
  <c r="X23"/>
  <c r="BE22"/>
  <c r="BC22"/>
  <c r="BD22" s="1"/>
  <c r="BB22"/>
  <c r="BA22"/>
  <c r="AU22"/>
  <c r="AT22"/>
  <c r="AR22"/>
  <c r="Y22" s="1"/>
  <c r="AQ22"/>
  <c r="X22"/>
  <c r="H22"/>
  <c r="BE21"/>
  <c r="BD21"/>
  <c r="BC21"/>
  <c r="BB21"/>
  <c r="AU21"/>
  <c r="AT21"/>
  <c r="BA21" s="1"/>
  <c r="AR21"/>
  <c r="Y21" s="1"/>
  <c r="AQ21"/>
  <c r="X21"/>
  <c r="J21"/>
  <c r="BE20"/>
  <c r="BD20"/>
  <c r="BC20"/>
  <c r="BB20"/>
  <c r="AU20"/>
  <c r="AT20"/>
  <c r="AR20"/>
  <c r="AQ20"/>
  <c r="Y20"/>
  <c r="AW20" s="1"/>
  <c r="AZ20" s="1"/>
  <c r="X20"/>
  <c r="J20"/>
  <c r="L29" s="1"/>
  <c r="BE19"/>
  <c r="BD19"/>
  <c r="BC19"/>
  <c r="BB19"/>
  <c r="AU19"/>
  <c r="AT19"/>
  <c r="AR19"/>
  <c r="AQ19"/>
  <c r="Y19"/>
  <c r="AW19" s="1"/>
  <c r="AZ19" s="1"/>
  <c r="X19"/>
  <c r="H19"/>
  <c r="BE18"/>
  <c r="BC18"/>
  <c r="BD18" s="1"/>
  <c r="BB18"/>
  <c r="BA18"/>
  <c r="AW18"/>
  <c r="AZ18" s="1"/>
  <c r="AU18"/>
  <c r="AT18"/>
  <c r="AV18" s="1"/>
  <c r="AY18" s="1"/>
  <c r="AS18"/>
  <c r="AR18"/>
  <c r="AQ18"/>
  <c r="Y18"/>
  <c r="X18"/>
  <c r="BE17"/>
  <c r="BC17"/>
  <c r="BD17" s="1"/>
  <c r="BB17"/>
  <c r="BA17"/>
  <c r="AW17"/>
  <c r="AZ17" s="1"/>
  <c r="AU17"/>
  <c r="AT17"/>
  <c r="AV17" s="1"/>
  <c r="AY17" s="1"/>
  <c r="AS17"/>
  <c r="AR17"/>
  <c r="AQ17"/>
  <c r="Y17"/>
  <c r="X17"/>
  <c r="J17"/>
  <c r="BE16"/>
  <c r="BC16"/>
  <c r="BD16" s="1"/>
  <c r="BB16"/>
  <c r="BA16"/>
  <c r="AU16"/>
  <c r="AT16"/>
  <c r="AR16"/>
  <c r="Y16" s="1"/>
  <c r="AQ16"/>
  <c r="X16"/>
  <c r="BE15"/>
  <c r="BC15"/>
  <c r="BD15" s="1"/>
  <c r="BB15"/>
  <c r="BA15"/>
  <c r="AW15"/>
  <c r="AZ15" s="1"/>
  <c r="AU15"/>
  <c r="AT15"/>
  <c r="AV15" s="1"/>
  <c r="AY15" s="1"/>
  <c r="AS15"/>
  <c r="AR15"/>
  <c r="AQ15"/>
  <c r="Y15"/>
  <c r="X15"/>
  <c r="BE14"/>
  <c r="BC14"/>
  <c r="BD14" s="1"/>
  <c r="BB14"/>
  <c r="BA14"/>
  <c r="AU14"/>
  <c r="AT14"/>
  <c r="AR14"/>
  <c r="Y14" s="1"/>
  <c r="AQ14"/>
  <c r="X14"/>
  <c r="J14"/>
  <c r="BE13"/>
  <c r="BC13"/>
  <c r="BD13" s="1"/>
  <c r="BB13"/>
  <c r="AU13"/>
  <c r="AT13"/>
  <c r="BA13" s="1"/>
  <c r="AR13"/>
  <c r="AQ13"/>
  <c r="Y13"/>
  <c r="AW13" s="1"/>
  <c r="AZ13" s="1"/>
  <c r="X13"/>
  <c r="J13"/>
  <c r="BE12"/>
  <c r="BD12"/>
  <c r="BC12"/>
  <c r="BB12"/>
  <c r="BA12"/>
  <c r="AU12"/>
  <c r="AT12"/>
  <c r="AR12"/>
  <c r="Y12" s="1"/>
  <c r="AQ12"/>
  <c r="X12"/>
  <c r="J12"/>
  <c r="B32" s="1"/>
  <c r="B40" s="1"/>
  <c r="BE11"/>
  <c r="BD11"/>
  <c r="BC11"/>
  <c r="BB11"/>
  <c r="BA11"/>
  <c r="AU11"/>
  <c r="AT11"/>
  <c r="AR11"/>
  <c r="Y11" s="1"/>
  <c r="AQ11"/>
  <c r="X11"/>
  <c r="J11"/>
  <c r="D11"/>
  <c r="BE10"/>
  <c r="BC10"/>
  <c r="BD10" s="1"/>
  <c r="BB10"/>
  <c r="AU10"/>
  <c r="AT10"/>
  <c r="AR10"/>
  <c r="AQ10"/>
  <c r="Y10"/>
  <c r="AW10" s="1"/>
  <c r="AZ10" s="1"/>
  <c r="X10"/>
  <c r="J10"/>
  <c r="B31" s="1"/>
  <c r="D10"/>
  <c r="BE9"/>
  <c r="BC9"/>
  <c r="BD9" s="1"/>
  <c r="BB9"/>
  <c r="AU9"/>
  <c r="AT9"/>
  <c r="BA9" s="1"/>
  <c r="AR9"/>
  <c r="AQ9"/>
  <c r="Y9"/>
  <c r="AW9" s="1"/>
  <c r="AZ9" s="1"/>
  <c r="X9"/>
  <c r="J9"/>
  <c r="L9" s="1"/>
  <c r="BE8"/>
  <c r="BD8"/>
  <c r="BC8"/>
  <c r="BB8"/>
  <c r="BA8"/>
  <c r="AW8"/>
  <c r="AZ8" s="1"/>
  <c r="AU8"/>
  <c r="AT8"/>
  <c r="AV8" s="1"/>
  <c r="AS8"/>
  <c r="AR8"/>
  <c r="AQ8"/>
  <c r="Y8"/>
  <c r="X8"/>
  <c r="J8"/>
  <c r="L8" s="1"/>
  <c r="BE7"/>
  <c r="BD7"/>
  <c r="BC7"/>
  <c r="BB7"/>
  <c r="BA7"/>
  <c r="AU7"/>
  <c r="AT7"/>
  <c r="AR7"/>
  <c r="Y7" s="1"/>
  <c r="AQ7"/>
  <c r="X7"/>
  <c r="L7"/>
  <c r="B33" s="1"/>
  <c r="J7"/>
  <c r="B7"/>
  <c r="B12" s="1"/>
  <c r="BE6"/>
  <c r="BD6"/>
  <c r="BC6"/>
  <c r="BB6"/>
  <c r="AU6"/>
  <c r="AT6"/>
  <c r="AR6"/>
  <c r="AQ6"/>
  <c r="Y6"/>
  <c r="AW6" s="1"/>
  <c r="AZ6" s="1"/>
  <c r="X6"/>
  <c r="B6"/>
  <c r="D6" s="1"/>
  <c r="BE5"/>
  <c r="BD5"/>
  <c r="BC5"/>
  <c r="BB5"/>
  <c r="BA5"/>
  <c r="AU5"/>
  <c r="AT5"/>
  <c r="AR5"/>
  <c r="Y5" s="1"/>
  <c r="AQ5"/>
  <c r="X5"/>
  <c r="D5"/>
  <c r="B5"/>
  <c r="BE4"/>
  <c r="BD4"/>
  <c r="BC4"/>
  <c r="BB4"/>
  <c r="AU4"/>
  <c r="AT4"/>
  <c r="BA4" s="1"/>
  <c r="AR4"/>
  <c r="Y4" s="1"/>
  <c r="AQ4"/>
  <c r="X4"/>
  <c r="J4"/>
  <c r="K4" s="1"/>
  <c r="B4"/>
  <c r="D4" s="1"/>
  <c r="BE3"/>
  <c r="BD3"/>
  <c r="BC3"/>
  <c r="BB3"/>
  <c r="BA3"/>
  <c r="AU3"/>
  <c r="AT3"/>
  <c r="AR3"/>
  <c r="Y3" s="1"/>
  <c r="AQ3"/>
  <c r="X3"/>
  <c r="J3"/>
  <c r="B3"/>
  <c r="D3" s="1"/>
  <c r="BE2"/>
  <c r="BD2"/>
  <c r="BC2"/>
  <c r="BB2"/>
  <c r="AU2"/>
  <c r="AT2"/>
  <c r="AR2"/>
  <c r="Y2" s="1"/>
  <c r="AQ2"/>
  <c r="X2"/>
  <c r="J2"/>
  <c r="AW2" l="1"/>
  <c r="AZ2" s="1"/>
  <c r="AS2"/>
  <c r="AV2" s="1"/>
  <c r="F33"/>
  <c r="J15"/>
  <c r="AW12"/>
  <c r="AZ12" s="1"/>
  <c r="AS12"/>
  <c r="AV12" s="1"/>
  <c r="AY12" s="1"/>
  <c r="AW29"/>
  <c r="AZ29" s="1"/>
  <c r="AS29"/>
  <c r="AW32"/>
  <c r="AZ32" s="1"/>
  <c r="AS32"/>
  <c r="AV32" s="1"/>
  <c r="AW51"/>
  <c r="AZ51" s="1"/>
  <c r="AS51"/>
  <c r="AW59"/>
  <c r="AZ59" s="1"/>
  <c r="AS59"/>
  <c r="AW67"/>
  <c r="AZ67" s="1"/>
  <c r="AS67"/>
  <c r="AX17"/>
  <c r="AX18"/>
  <c r="AX28"/>
  <c r="AW3"/>
  <c r="AZ3" s="1"/>
  <c r="AS3"/>
  <c r="AV3" s="1"/>
  <c r="AY3" s="1"/>
  <c r="AW4"/>
  <c r="AZ4" s="1"/>
  <c r="AS4"/>
  <c r="AV4" s="1"/>
  <c r="AY4" s="1"/>
  <c r="AW21"/>
  <c r="AZ21" s="1"/>
  <c r="AS21"/>
  <c r="AV21" s="1"/>
  <c r="AW26"/>
  <c r="AZ26" s="1"/>
  <c r="AS26"/>
  <c r="AW42"/>
  <c r="AZ42" s="1"/>
  <c r="AS42"/>
  <c r="AW50"/>
  <c r="AZ50" s="1"/>
  <c r="AS50"/>
  <c r="AV50" s="1"/>
  <c r="AY50" s="1"/>
  <c r="AW58"/>
  <c r="AZ58" s="1"/>
  <c r="AS58"/>
  <c r="AV58" s="1"/>
  <c r="AY58" s="1"/>
  <c r="AW66"/>
  <c r="AZ66" s="1"/>
  <c r="AS66"/>
  <c r="AV66" s="1"/>
  <c r="AY66" s="1"/>
  <c r="AY7"/>
  <c r="AX12"/>
  <c r="AW5"/>
  <c r="AZ5" s="1"/>
  <c r="AS5"/>
  <c r="AV5" s="1"/>
  <c r="AY5" s="1"/>
  <c r="AW7"/>
  <c r="AZ7" s="1"/>
  <c r="AS7"/>
  <c r="AV7" s="1"/>
  <c r="J16"/>
  <c r="B34" s="1"/>
  <c r="D33"/>
  <c r="AW16"/>
  <c r="AZ16" s="1"/>
  <c r="AS16"/>
  <c r="AV16" s="1"/>
  <c r="AW23"/>
  <c r="AZ23" s="1"/>
  <c r="AS23"/>
  <c r="AV23" s="1"/>
  <c r="AW27"/>
  <c r="AZ27" s="1"/>
  <c r="AS27"/>
  <c r="AV27" s="1"/>
  <c r="AW38"/>
  <c r="AZ38" s="1"/>
  <c r="AS38"/>
  <c r="AV38" s="1"/>
  <c r="AW40"/>
  <c r="AZ40" s="1"/>
  <c r="AS40"/>
  <c r="AV40" s="1"/>
  <c r="AW41"/>
  <c r="AZ41" s="1"/>
  <c r="AS41"/>
  <c r="AV41" s="1"/>
  <c r="AY41" s="1"/>
  <c r="AW47"/>
  <c r="AZ47" s="1"/>
  <c r="AS47"/>
  <c r="AV47" s="1"/>
  <c r="AW55"/>
  <c r="AZ55" s="1"/>
  <c r="AS55"/>
  <c r="AV55" s="1"/>
  <c r="AW63"/>
  <c r="AZ63" s="1"/>
  <c r="AS63"/>
  <c r="AV63" s="1"/>
  <c r="AX4"/>
  <c r="AX15"/>
  <c r="AV29"/>
  <c r="AY29" s="1"/>
  <c r="AX50"/>
  <c r="AV51"/>
  <c r="AY51" s="1"/>
  <c r="AX58"/>
  <c r="AV59"/>
  <c r="AY59" s="1"/>
  <c r="AX66"/>
  <c r="AV67"/>
  <c r="AY67" s="1"/>
  <c r="AW11"/>
  <c r="AZ11" s="1"/>
  <c r="AS11"/>
  <c r="AV11" s="1"/>
  <c r="AY11" s="1"/>
  <c r="AW14"/>
  <c r="AZ14" s="1"/>
  <c r="AS14"/>
  <c r="AV14" s="1"/>
  <c r="AW22"/>
  <c r="AZ22" s="1"/>
  <c r="AS22"/>
  <c r="AV22" s="1"/>
  <c r="AW25"/>
  <c r="AZ25" s="1"/>
  <c r="AS25"/>
  <c r="AV25" s="1"/>
  <c r="AW30"/>
  <c r="AZ30" s="1"/>
  <c r="AS30"/>
  <c r="AV30" s="1"/>
  <c r="AW33"/>
  <c r="AZ33" s="1"/>
  <c r="AS33"/>
  <c r="AV33" s="1"/>
  <c r="AW35"/>
  <c r="AZ35" s="1"/>
  <c r="AS35"/>
  <c r="AV35" s="1"/>
  <c r="AW46"/>
  <c r="AZ46" s="1"/>
  <c r="AS46"/>
  <c r="AV46" s="1"/>
  <c r="AY46" s="1"/>
  <c r="AW54"/>
  <c r="AZ54" s="1"/>
  <c r="AS54"/>
  <c r="AV54" s="1"/>
  <c r="AY54" s="1"/>
  <c r="AW62"/>
  <c r="AZ62" s="1"/>
  <c r="AS62"/>
  <c r="AV62" s="1"/>
  <c r="AY62" s="1"/>
  <c r="AY2"/>
  <c r="AV26"/>
  <c r="AY26" s="1"/>
  <c r="AX41"/>
  <c r="AV42"/>
  <c r="AY42" s="1"/>
  <c r="BA374"/>
  <c r="BA370"/>
  <c r="BA366"/>
  <c r="BA362"/>
  <c r="BA358"/>
  <c r="BA354"/>
  <c r="BA350"/>
  <c r="BA346"/>
  <c r="BA342"/>
  <c r="BA338"/>
  <c r="BA334"/>
  <c r="BA330"/>
  <c r="BA326"/>
  <c r="BA322"/>
  <c r="BA318"/>
  <c r="BA314"/>
  <c r="BA310"/>
  <c r="BA306"/>
  <c r="BA302"/>
  <c r="BA298"/>
  <c r="BA294"/>
  <c r="BA290"/>
  <c r="BA286"/>
  <c r="BA282"/>
  <c r="BA372"/>
  <c r="BA368"/>
  <c r="BA364"/>
  <c r="BA360"/>
  <c r="BA356"/>
  <c r="BA352"/>
  <c r="BA348"/>
  <c r="BA344"/>
  <c r="BA340"/>
  <c r="BA336"/>
  <c r="BA332"/>
  <c r="J18" s="1"/>
  <c r="BA328"/>
  <c r="BA324"/>
  <c r="BA320"/>
  <c r="BA316"/>
  <c r="BA312"/>
  <c r="BA308"/>
  <c r="BA304"/>
  <c r="BA300"/>
  <c r="BA296"/>
  <c r="BA292"/>
  <c r="BA288"/>
  <c r="BA276"/>
  <c r="BA272"/>
  <c r="BA268"/>
  <c r="BA264"/>
  <c r="BA260"/>
  <c r="BA256"/>
  <c r="BA254"/>
  <c r="BA250"/>
  <c r="BA246"/>
  <c r="BA242"/>
  <c r="BA238"/>
  <c r="BA234"/>
  <c r="BA230"/>
  <c r="BA226"/>
  <c r="BA222"/>
  <c r="BA218"/>
  <c r="BA214"/>
  <c r="BA210"/>
  <c r="BA206"/>
  <c r="BA202"/>
  <c r="BA198"/>
  <c r="BA194"/>
  <c r="BA190"/>
  <c r="BA186"/>
  <c r="BA284"/>
  <c r="BA278"/>
  <c r="BA274"/>
  <c r="BA270"/>
  <c r="BA266"/>
  <c r="BA251"/>
  <c r="BA247"/>
  <c r="BA243"/>
  <c r="BA280"/>
  <c r="BA262"/>
  <c r="BA258"/>
  <c r="BA182"/>
  <c r="BA170"/>
  <c r="BA178"/>
  <c r="BA165"/>
  <c r="BA161"/>
  <c r="BA157"/>
  <c r="BA153"/>
  <c r="BA149"/>
  <c r="BA145"/>
  <c r="BA141"/>
  <c r="BA137"/>
  <c r="BA133"/>
  <c r="BA129"/>
  <c r="BA125"/>
  <c r="BA121"/>
  <c r="BA117"/>
  <c r="BA113"/>
  <c r="BA109"/>
  <c r="BA105"/>
  <c r="BA101"/>
  <c r="BA97"/>
  <c r="BA93"/>
  <c r="BA89"/>
  <c r="BA174"/>
  <c r="BA166"/>
  <c r="BA162"/>
  <c r="BA158"/>
  <c r="BA154"/>
  <c r="BA150"/>
  <c r="BA146"/>
  <c r="BA142"/>
  <c r="BA138"/>
  <c r="BA134"/>
  <c r="BA130"/>
  <c r="BA126"/>
  <c r="BA122"/>
  <c r="BA118"/>
  <c r="AW75"/>
  <c r="AZ75" s="1"/>
  <c r="AS75"/>
  <c r="AW83"/>
  <c r="AZ83" s="1"/>
  <c r="AS83"/>
  <c r="BA88"/>
  <c r="AX2"/>
  <c r="AX3"/>
  <c r="AX5"/>
  <c r="D7"/>
  <c r="D12" s="1"/>
  <c r="AX7"/>
  <c r="AY8"/>
  <c r="AS10"/>
  <c r="AV10" s="1"/>
  <c r="BA10"/>
  <c r="AS20"/>
  <c r="BA20"/>
  <c r="AY21"/>
  <c r="J22"/>
  <c r="B44" s="1"/>
  <c r="D44" s="1"/>
  <c r="E44" s="1"/>
  <c r="AY23"/>
  <c r="AY25"/>
  <c r="L27"/>
  <c r="AY30"/>
  <c r="AS31"/>
  <c r="BA31"/>
  <c r="AY32"/>
  <c r="AY33"/>
  <c r="AS34"/>
  <c r="BA34"/>
  <c r="AY35"/>
  <c r="AS36"/>
  <c r="BA36"/>
  <c r="B38"/>
  <c r="B39" s="1"/>
  <c r="B41" s="1"/>
  <c r="C41" s="1"/>
  <c r="BA41"/>
  <c r="BA46"/>
  <c r="BA50"/>
  <c r="BA54"/>
  <c r="BA58"/>
  <c r="BA62"/>
  <c r="BA66"/>
  <c r="AX69"/>
  <c r="BA69"/>
  <c r="BA70"/>
  <c r="AS73"/>
  <c r="AV73" s="1"/>
  <c r="AX77"/>
  <c r="BA77"/>
  <c r="BA78"/>
  <c r="AS81"/>
  <c r="AV81" s="1"/>
  <c r="AX85"/>
  <c r="BA85"/>
  <c r="BA86"/>
  <c r="BA106"/>
  <c r="BA110"/>
  <c r="BA114"/>
  <c r="AW70"/>
  <c r="AZ70" s="1"/>
  <c r="AS70"/>
  <c r="AV70" s="1"/>
  <c r="AY70" s="1"/>
  <c r="AV75"/>
  <c r="AX75" s="1"/>
  <c r="BA75"/>
  <c r="AW78"/>
  <c r="AZ78" s="1"/>
  <c r="AS78"/>
  <c r="AV78" s="1"/>
  <c r="AY78" s="1"/>
  <c r="AV83"/>
  <c r="AX83" s="1"/>
  <c r="BA83"/>
  <c r="AW86"/>
  <c r="AZ86" s="1"/>
  <c r="AS86"/>
  <c r="AV86" s="1"/>
  <c r="AY86" s="1"/>
  <c r="AW106"/>
  <c r="AZ106" s="1"/>
  <c r="AS106"/>
  <c r="AV106" s="1"/>
  <c r="AY106" s="1"/>
  <c r="AW110"/>
  <c r="AZ110" s="1"/>
  <c r="AS110"/>
  <c r="AV110" s="1"/>
  <c r="AY110" s="1"/>
  <c r="AW114"/>
  <c r="AZ114" s="1"/>
  <c r="AS114"/>
  <c r="AV114" s="1"/>
  <c r="AY114" s="1"/>
  <c r="AW118"/>
  <c r="AZ118" s="1"/>
  <c r="AS118"/>
  <c r="AV118" s="1"/>
  <c r="AY118" s="1"/>
  <c r="AW122"/>
  <c r="AZ122" s="1"/>
  <c r="AS122"/>
  <c r="AV122" s="1"/>
  <c r="AY122" s="1"/>
  <c r="AW126"/>
  <c r="AZ126" s="1"/>
  <c r="AS126"/>
  <c r="AV126" s="1"/>
  <c r="AY126" s="1"/>
  <c r="AW130"/>
  <c r="AZ130" s="1"/>
  <c r="AS130"/>
  <c r="AV130" s="1"/>
  <c r="AY130" s="1"/>
  <c r="AW134"/>
  <c r="AZ134" s="1"/>
  <c r="AS134"/>
  <c r="AV134" s="1"/>
  <c r="AY134" s="1"/>
  <c r="AW138"/>
  <c r="AZ138" s="1"/>
  <c r="AS138"/>
  <c r="AV138" s="1"/>
  <c r="AY138" s="1"/>
  <c r="AW142"/>
  <c r="AZ142" s="1"/>
  <c r="AS142"/>
  <c r="AV142" s="1"/>
  <c r="AY142" s="1"/>
  <c r="AW146"/>
  <c r="AZ146" s="1"/>
  <c r="AS146"/>
  <c r="AV146" s="1"/>
  <c r="AY146" s="1"/>
  <c r="AW150"/>
  <c r="AZ150" s="1"/>
  <c r="AS150"/>
  <c r="AV150" s="1"/>
  <c r="AY150" s="1"/>
  <c r="AW154"/>
  <c r="AZ154" s="1"/>
  <c r="AS154"/>
  <c r="AV154" s="1"/>
  <c r="AY154" s="1"/>
  <c r="AW158"/>
  <c r="AZ158" s="1"/>
  <c r="AS158"/>
  <c r="AV158" s="1"/>
  <c r="AY158" s="1"/>
  <c r="AW162"/>
  <c r="AZ162" s="1"/>
  <c r="AS162"/>
  <c r="AV162" s="1"/>
  <c r="AY162" s="1"/>
  <c r="AW166"/>
  <c r="AZ166" s="1"/>
  <c r="AS166"/>
  <c r="AV166" s="1"/>
  <c r="AY166" s="1"/>
  <c r="BA2"/>
  <c r="AX8"/>
  <c r="AV20"/>
  <c r="AX20" s="1"/>
  <c r="AX21"/>
  <c r="AX23"/>
  <c r="AX25"/>
  <c r="AX30"/>
  <c r="AV31"/>
  <c r="AX31" s="1"/>
  <c r="AX32"/>
  <c r="AX33"/>
  <c r="AV34"/>
  <c r="AX34" s="1"/>
  <c r="AX35"/>
  <c r="AV36"/>
  <c r="AX36" s="1"/>
  <c r="BA37"/>
  <c r="BA39"/>
  <c r="BA45"/>
  <c r="BA49"/>
  <c r="BA53"/>
  <c r="BA57"/>
  <c r="BA61"/>
  <c r="BA65"/>
  <c r="BA68"/>
  <c r="AY69"/>
  <c r="BA76"/>
  <c r="AY77"/>
  <c r="BA84"/>
  <c r="AY85"/>
  <c r="BA90"/>
  <c r="BA94"/>
  <c r="BA98"/>
  <c r="BA102"/>
  <c r="BA108"/>
  <c r="AY109"/>
  <c r="BA112"/>
  <c r="BA116"/>
  <c r="AX117"/>
  <c r="BA120"/>
  <c r="BA124"/>
  <c r="AX125"/>
  <c r="BA128"/>
  <c r="BA132"/>
  <c r="AX133"/>
  <c r="BA136"/>
  <c r="BA140"/>
  <c r="AX141"/>
  <c r="BA144"/>
  <c r="BA148"/>
  <c r="AX149"/>
  <c r="BA152"/>
  <c r="BA156"/>
  <c r="AX157"/>
  <c r="BA160"/>
  <c r="BA164"/>
  <c r="AX165"/>
  <c r="AW71"/>
  <c r="AZ71" s="1"/>
  <c r="AS71"/>
  <c r="AW79"/>
  <c r="AZ79" s="1"/>
  <c r="AS79"/>
  <c r="AV79" s="1"/>
  <c r="AW87"/>
  <c r="AZ87" s="1"/>
  <c r="AS87"/>
  <c r="AW90"/>
  <c r="AZ90" s="1"/>
  <c r="AS90"/>
  <c r="AV90" s="1"/>
  <c r="AY90" s="1"/>
  <c r="AW94"/>
  <c r="AZ94" s="1"/>
  <c r="AS94"/>
  <c r="AV94" s="1"/>
  <c r="AY94" s="1"/>
  <c r="AW98"/>
  <c r="AZ98" s="1"/>
  <c r="AS98"/>
  <c r="AV98" s="1"/>
  <c r="AY98" s="1"/>
  <c r="AW102"/>
  <c r="AZ102" s="1"/>
  <c r="AS102"/>
  <c r="AV102" s="1"/>
  <c r="AY102" s="1"/>
  <c r="AW105"/>
  <c r="AZ105" s="1"/>
  <c r="AS105"/>
  <c r="AV105" s="1"/>
  <c r="AY105" s="1"/>
  <c r="AW109"/>
  <c r="AZ109" s="1"/>
  <c r="AS109"/>
  <c r="AV109" s="1"/>
  <c r="AW113"/>
  <c r="AZ113" s="1"/>
  <c r="AS113"/>
  <c r="AV113" s="1"/>
  <c r="AY113" s="1"/>
  <c r="AW117"/>
  <c r="AZ117" s="1"/>
  <c r="AS117"/>
  <c r="AV117" s="1"/>
  <c r="AW121"/>
  <c r="AZ121" s="1"/>
  <c r="AS121"/>
  <c r="AV121" s="1"/>
  <c r="AY121" s="1"/>
  <c r="AW125"/>
  <c r="AZ125" s="1"/>
  <c r="AS125"/>
  <c r="AV125" s="1"/>
  <c r="AW129"/>
  <c r="AZ129" s="1"/>
  <c r="AS129"/>
  <c r="AV129" s="1"/>
  <c r="AY129" s="1"/>
  <c r="AW133"/>
  <c r="AZ133" s="1"/>
  <c r="AS133"/>
  <c r="AV133" s="1"/>
  <c r="AW137"/>
  <c r="AZ137" s="1"/>
  <c r="AS137"/>
  <c r="AV137" s="1"/>
  <c r="AY137" s="1"/>
  <c r="AW141"/>
  <c r="AZ141" s="1"/>
  <c r="AS141"/>
  <c r="AV141" s="1"/>
  <c r="AW145"/>
  <c r="AZ145" s="1"/>
  <c r="AS145"/>
  <c r="AV145" s="1"/>
  <c r="AY145" s="1"/>
  <c r="AW149"/>
  <c r="AZ149" s="1"/>
  <c r="AS149"/>
  <c r="AV149" s="1"/>
  <c r="AW153"/>
  <c r="AZ153" s="1"/>
  <c r="AS153"/>
  <c r="AV153" s="1"/>
  <c r="AY153" s="1"/>
  <c r="AW157"/>
  <c r="AZ157" s="1"/>
  <c r="AS157"/>
  <c r="AV157" s="1"/>
  <c r="AW161"/>
  <c r="AZ161" s="1"/>
  <c r="AS161"/>
  <c r="AV161" s="1"/>
  <c r="AY161" s="1"/>
  <c r="AW165"/>
  <c r="AZ165" s="1"/>
  <c r="AS165"/>
  <c r="AV165" s="1"/>
  <c r="AS6"/>
  <c r="AV6" s="1"/>
  <c r="BA6"/>
  <c r="AS19"/>
  <c r="AV19" s="1"/>
  <c r="BA19"/>
  <c r="AY20"/>
  <c r="AY31"/>
  <c r="AY34"/>
  <c r="AY36"/>
  <c r="AV37"/>
  <c r="AX37" s="1"/>
  <c r="AV39"/>
  <c r="AY39" s="1"/>
  <c r="AS43"/>
  <c r="AV43" s="1"/>
  <c r="BA43"/>
  <c r="AS44"/>
  <c r="AV44" s="1"/>
  <c r="BA44"/>
  <c r="AV45"/>
  <c r="AY45" s="1"/>
  <c r="AS48"/>
  <c r="AV48" s="1"/>
  <c r="BA48"/>
  <c r="AV49"/>
  <c r="AX49" s="1"/>
  <c r="AS52"/>
  <c r="AV52" s="1"/>
  <c r="BA52"/>
  <c r="AV53"/>
  <c r="AY53" s="1"/>
  <c r="AS56"/>
  <c r="AV56" s="1"/>
  <c r="BA56"/>
  <c r="AV57"/>
  <c r="AY57" s="1"/>
  <c r="AS60"/>
  <c r="AV60" s="1"/>
  <c r="BA60"/>
  <c r="AV61"/>
  <c r="AY61" s="1"/>
  <c r="AS64"/>
  <c r="AV64" s="1"/>
  <c r="BA64"/>
  <c r="AV65"/>
  <c r="AX65" s="1"/>
  <c r="AS68"/>
  <c r="AV68" s="1"/>
  <c r="AX70"/>
  <c r="AX73"/>
  <c r="BA73"/>
  <c r="BA74"/>
  <c r="AY75"/>
  <c r="AS76"/>
  <c r="AV76" s="1"/>
  <c r="AX78"/>
  <c r="AX81"/>
  <c r="BA81"/>
  <c r="BA82"/>
  <c r="AY83"/>
  <c r="AS84"/>
  <c r="AV84" s="1"/>
  <c r="AX86"/>
  <c r="AY89"/>
  <c r="BA92"/>
  <c r="BA96"/>
  <c r="AY97"/>
  <c r="BA100"/>
  <c r="BA104"/>
  <c r="AX106"/>
  <c r="AV107"/>
  <c r="AY107" s="1"/>
  <c r="AX110"/>
  <c r="AX114"/>
  <c r="AX118"/>
  <c r="AX122"/>
  <c r="AX126"/>
  <c r="AX130"/>
  <c r="AX134"/>
  <c r="AX138"/>
  <c r="AX142"/>
  <c r="AX146"/>
  <c r="AX150"/>
  <c r="AX154"/>
  <c r="AX158"/>
  <c r="AX162"/>
  <c r="AX166"/>
  <c r="AV71"/>
  <c r="AY71" s="1"/>
  <c r="BA71"/>
  <c r="AV72"/>
  <c r="AX72" s="1"/>
  <c r="AW74"/>
  <c r="AZ74" s="1"/>
  <c r="AS74"/>
  <c r="AV74" s="1"/>
  <c r="BA79"/>
  <c r="AY80"/>
  <c r="AV80"/>
  <c r="AX80" s="1"/>
  <c r="AW82"/>
  <c r="AZ82" s="1"/>
  <c r="AS82"/>
  <c r="AV82" s="1"/>
  <c r="AV87"/>
  <c r="AY87" s="1"/>
  <c r="BA87"/>
  <c r="AW88"/>
  <c r="AZ88" s="1"/>
  <c r="AS88"/>
  <c r="AV88" s="1"/>
  <c r="AW89"/>
  <c r="AZ89" s="1"/>
  <c r="AS89"/>
  <c r="AV89" s="1"/>
  <c r="AX89" s="1"/>
  <c r="AW93"/>
  <c r="AZ93" s="1"/>
  <c r="AS93"/>
  <c r="AV93" s="1"/>
  <c r="AX93" s="1"/>
  <c r="AW97"/>
  <c r="AZ97" s="1"/>
  <c r="AS97"/>
  <c r="AV97" s="1"/>
  <c r="AX97" s="1"/>
  <c r="AW101"/>
  <c r="AZ101" s="1"/>
  <c r="AS101"/>
  <c r="AV101" s="1"/>
  <c r="AX101" s="1"/>
  <c r="AS9"/>
  <c r="AV9" s="1"/>
  <c r="AS13"/>
  <c r="AV13" s="1"/>
  <c r="BA72"/>
  <c r="AY73"/>
  <c r="BA80"/>
  <c r="AY81"/>
  <c r="AX94"/>
  <c r="AX102"/>
  <c r="AV103"/>
  <c r="AY103" s="1"/>
  <c r="AX109"/>
  <c r="AX113"/>
  <c r="AV168"/>
  <c r="AY168" s="1"/>
  <c r="BA168"/>
  <c r="AV169"/>
  <c r="AX169" s="1"/>
  <c r="AW171"/>
  <c r="AZ171" s="1"/>
  <c r="AS171"/>
  <c r="AV171" s="1"/>
  <c r="BA176"/>
  <c r="AY177"/>
  <c r="AV177"/>
  <c r="AX177" s="1"/>
  <c r="AW180"/>
  <c r="AZ180" s="1"/>
  <c r="AS180"/>
  <c r="AW183"/>
  <c r="AZ183" s="1"/>
  <c r="AS183"/>
  <c r="AV183" s="1"/>
  <c r="AY183" s="1"/>
  <c r="AW191"/>
  <c r="AZ191" s="1"/>
  <c r="AS191"/>
  <c r="AV191" s="1"/>
  <c r="AY191" s="1"/>
  <c r="AW194"/>
  <c r="AZ194" s="1"/>
  <c r="AS194"/>
  <c r="AV194" s="1"/>
  <c r="AY194" s="1"/>
  <c r="AW207"/>
  <c r="AZ207" s="1"/>
  <c r="AS207"/>
  <c r="AV207" s="1"/>
  <c r="AY207" s="1"/>
  <c r="AW210"/>
  <c r="AZ210" s="1"/>
  <c r="AS210"/>
  <c r="AV210" s="1"/>
  <c r="AY210" s="1"/>
  <c r="AW223"/>
  <c r="AZ223" s="1"/>
  <c r="AS223"/>
  <c r="AV223" s="1"/>
  <c r="AY223" s="1"/>
  <c r="AW226"/>
  <c r="AZ226" s="1"/>
  <c r="AS226"/>
  <c r="AV226" s="1"/>
  <c r="AW257"/>
  <c r="AZ257" s="1"/>
  <c r="AS257"/>
  <c r="AW267"/>
  <c r="AZ267" s="1"/>
  <c r="AS267"/>
  <c r="AV267" s="1"/>
  <c r="AX267" s="1"/>
  <c r="AS91"/>
  <c r="AV91" s="1"/>
  <c r="BA91"/>
  <c r="AV92"/>
  <c r="AS95"/>
  <c r="AV95" s="1"/>
  <c r="BA95"/>
  <c r="AS99"/>
  <c r="AV99" s="1"/>
  <c r="BA99"/>
  <c r="AS103"/>
  <c r="BA103"/>
  <c r="AS107"/>
  <c r="BA107"/>
  <c r="AV108"/>
  <c r="AS111"/>
  <c r="AV111" s="1"/>
  <c r="BA111"/>
  <c r="AS115"/>
  <c r="AV115" s="1"/>
  <c r="BA115"/>
  <c r="AY117"/>
  <c r="AS119"/>
  <c r="AV119" s="1"/>
  <c r="BA119"/>
  <c r="AS123"/>
  <c r="AV123" s="1"/>
  <c r="BA123"/>
  <c r="AY125"/>
  <c r="AS127"/>
  <c r="AV127" s="1"/>
  <c r="BA127"/>
  <c r="AS131"/>
  <c r="AV131" s="1"/>
  <c r="BA131"/>
  <c r="AY133"/>
  <c r="AS135"/>
  <c r="AV135" s="1"/>
  <c r="BA135"/>
  <c r="AS139"/>
  <c r="AV139" s="1"/>
  <c r="BA139"/>
  <c r="AY141"/>
  <c r="AS143"/>
  <c r="AV143" s="1"/>
  <c r="BA143"/>
  <c r="AS147"/>
  <c r="AV147" s="1"/>
  <c r="BA147"/>
  <c r="AY149"/>
  <c r="AS151"/>
  <c r="AV151" s="1"/>
  <c r="BA151"/>
  <c r="AS155"/>
  <c r="AV155" s="1"/>
  <c r="BA155"/>
  <c r="AY157"/>
  <c r="AS159"/>
  <c r="AV159" s="1"/>
  <c r="BA159"/>
  <c r="AS163"/>
  <c r="AV163" s="1"/>
  <c r="BA163"/>
  <c r="AY165"/>
  <c r="BA169"/>
  <c r="AW173"/>
  <c r="AZ173" s="1"/>
  <c r="BA177"/>
  <c r="AS178"/>
  <c r="AV178" s="1"/>
  <c r="AX178" s="1"/>
  <c r="BA187"/>
  <c r="BA193"/>
  <c r="BA203"/>
  <c r="BA209"/>
  <c r="BA219"/>
  <c r="AY222"/>
  <c r="BA225"/>
  <c r="AX230"/>
  <c r="AW172"/>
  <c r="AZ172" s="1"/>
  <c r="AS172"/>
  <c r="AV180"/>
  <c r="AY180" s="1"/>
  <c r="BA180"/>
  <c r="BA181"/>
  <c r="AY181"/>
  <c r="AV181"/>
  <c r="AX181" s="1"/>
  <c r="AW187"/>
  <c r="AZ187" s="1"/>
  <c r="AS187"/>
  <c r="AV187" s="1"/>
  <c r="AY187" s="1"/>
  <c r="AW190"/>
  <c r="AZ190" s="1"/>
  <c r="AS190"/>
  <c r="AV190" s="1"/>
  <c r="AY190" s="1"/>
  <c r="AW203"/>
  <c r="AZ203" s="1"/>
  <c r="AS203"/>
  <c r="AV203" s="1"/>
  <c r="AY203" s="1"/>
  <c r="AW206"/>
  <c r="AZ206" s="1"/>
  <c r="AS206"/>
  <c r="AV206" s="1"/>
  <c r="AY206" s="1"/>
  <c r="AW219"/>
  <c r="AZ219" s="1"/>
  <c r="AS219"/>
  <c r="AV219" s="1"/>
  <c r="AY219" s="1"/>
  <c r="AW222"/>
  <c r="AZ222" s="1"/>
  <c r="AS222"/>
  <c r="AV222" s="1"/>
  <c r="AX222" s="1"/>
  <c r="AW279"/>
  <c r="AZ279" s="1"/>
  <c r="AS279"/>
  <c r="AV279" s="1"/>
  <c r="AX279" s="1"/>
  <c r="AY92"/>
  <c r="AY108"/>
  <c r="BA167"/>
  <c r="AS170"/>
  <c r="AV170" s="1"/>
  <c r="AY170" s="1"/>
  <c r="AX174"/>
  <c r="BA175"/>
  <c r="AX182"/>
  <c r="AX183"/>
  <c r="BA189"/>
  <c r="AX191"/>
  <c r="AX194"/>
  <c r="BA199"/>
  <c r="BA205"/>
  <c r="AX207"/>
  <c r="AX210"/>
  <c r="BA215"/>
  <c r="BA221"/>
  <c r="AX223"/>
  <c r="AX226"/>
  <c r="BA231"/>
  <c r="BA235"/>
  <c r="BA239"/>
  <c r="AW167"/>
  <c r="AZ167" s="1"/>
  <c r="AS167"/>
  <c r="AV167" s="1"/>
  <c r="AY167" s="1"/>
  <c r="AV172"/>
  <c r="AY172" s="1"/>
  <c r="BA172"/>
  <c r="AV173"/>
  <c r="AY173" s="1"/>
  <c r="AW175"/>
  <c r="AZ175" s="1"/>
  <c r="AS175"/>
  <c r="AV175" s="1"/>
  <c r="AY175" s="1"/>
  <c r="AW186"/>
  <c r="AZ186" s="1"/>
  <c r="AS186"/>
  <c r="AV186" s="1"/>
  <c r="AY186" s="1"/>
  <c r="AW199"/>
  <c r="AZ199" s="1"/>
  <c r="AS199"/>
  <c r="AV199" s="1"/>
  <c r="AY199" s="1"/>
  <c r="AW202"/>
  <c r="AZ202" s="1"/>
  <c r="AS202"/>
  <c r="AV202" s="1"/>
  <c r="AY202" s="1"/>
  <c r="AW215"/>
  <c r="AZ215" s="1"/>
  <c r="AS215"/>
  <c r="AV215" s="1"/>
  <c r="AY215" s="1"/>
  <c r="AW218"/>
  <c r="AZ218" s="1"/>
  <c r="AS218"/>
  <c r="AV218" s="1"/>
  <c r="AY218" s="1"/>
  <c r="AW231"/>
  <c r="AZ231" s="1"/>
  <c r="AS231"/>
  <c r="AV231" s="1"/>
  <c r="AY231" s="1"/>
  <c r="AW235"/>
  <c r="AZ235" s="1"/>
  <c r="AS235"/>
  <c r="AV235" s="1"/>
  <c r="AY235" s="1"/>
  <c r="AW239"/>
  <c r="AZ239" s="1"/>
  <c r="AS239"/>
  <c r="AV239" s="1"/>
  <c r="AY239" s="1"/>
  <c r="AW243"/>
  <c r="AZ243" s="1"/>
  <c r="AS243"/>
  <c r="AV243" s="1"/>
  <c r="AY243" s="1"/>
  <c r="AW247"/>
  <c r="AZ247" s="1"/>
  <c r="AS247"/>
  <c r="AV247" s="1"/>
  <c r="AY247" s="1"/>
  <c r="AW251"/>
  <c r="AZ251" s="1"/>
  <c r="AS251"/>
  <c r="AV251" s="1"/>
  <c r="AY251" s="1"/>
  <c r="AW255"/>
  <c r="AZ255" s="1"/>
  <c r="AS255"/>
  <c r="AV255" s="1"/>
  <c r="AW275"/>
  <c r="AZ275" s="1"/>
  <c r="AS275"/>
  <c r="AV275" s="1"/>
  <c r="AX275" s="1"/>
  <c r="AX92"/>
  <c r="AX108"/>
  <c r="BA173"/>
  <c r="AY174"/>
  <c r="BA179"/>
  <c r="BA185"/>
  <c r="AX187"/>
  <c r="BA195"/>
  <c r="BA201"/>
  <c r="AX203"/>
  <c r="AX206"/>
  <c r="BA211"/>
  <c r="BA217"/>
  <c r="AX219"/>
  <c r="BA227"/>
  <c r="BA233"/>
  <c r="BA237"/>
  <c r="BA241"/>
  <c r="BA245"/>
  <c r="BA249"/>
  <c r="BA253"/>
  <c r="AW168"/>
  <c r="AZ168" s="1"/>
  <c r="AS168"/>
  <c r="AW176"/>
  <c r="AZ176" s="1"/>
  <c r="AS176"/>
  <c r="AV176" s="1"/>
  <c r="AW179"/>
  <c r="AZ179" s="1"/>
  <c r="AS179"/>
  <c r="AV179" s="1"/>
  <c r="AW195"/>
  <c r="AZ195" s="1"/>
  <c r="AS195"/>
  <c r="AV195" s="1"/>
  <c r="AY195" s="1"/>
  <c r="AW198"/>
  <c r="AZ198" s="1"/>
  <c r="AS198"/>
  <c r="AV198" s="1"/>
  <c r="AY198" s="1"/>
  <c r="AW211"/>
  <c r="AZ211" s="1"/>
  <c r="AS211"/>
  <c r="AV211" s="1"/>
  <c r="AY211" s="1"/>
  <c r="AW214"/>
  <c r="AZ214" s="1"/>
  <c r="AS214"/>
  <c r="AV214" s="1"/>
  <c r="AX214" s="1"/>
  <c r="AW227"/>
  <c r="AZ227" s="1"/>
  <c r="AS227"/>
  <c r="AV227" s="1"/>
  <c r="AY227" s="1"/>
  <c r="AW230"/>
  <c r="AZ230" s="1"/>
  <c r="AS230"/>
  <c r="AV230" s="1"/>
  <c r="AY230" s="1"/>
  <c r="AW234"/>
  <c r="AZ234" s="1"/>
  <c r="AS234"/>
  <c r="AV234" s="1"/>
  <c r="AX234" s="1"/>
  <c r="AW238"/>
  <c r="AZ238" s="1"/>
  <c r="AS238"/>
  <c r="AV238" s="1"/>
  <c r="AX238" s="1"/>
  <c r="AW242"/>
  <c r="AZ242" s="1"/>
  <c r="AS242"/>
  <c r="AV242" s="1"/>
  <c r="AX242" s="1"/>
  <c r="AW246"/>
  <c r="AZ246" s="1"/>
  <c r="AS246"/>
  <c r="AV246" s="1"/>
  <c r="AX246" s="1"/>
  <c r="AW250"/>
  <c r="AZ250" s="1"/>
  <c r="AS250"/>
  <c r="AV250" s="1"/>
  <c r="AX250" s="1"/>
  <c r="AW254"/>
  <c r="AZ254" s="1"/>
  <c r="AS254"/>
  <c r="AV254" s="1"/>
  <c r="AX254" s="1"/>
  <c r="AW261"/>
  <c r="AZ261" s="1"/>
  <c r="AS261"/>
  <c r="AV261" s="1"/>
  <c r="AW271"/>
  <c r="AZ271" s="1"/>
  <c r="AS271"/>
  <c r="AV271" s="1"/>
  <c r="AX271" s="1"/>
  <c r="AS92"/>
  <c r="AS96"/>
  <c r="AV96" s="1"/>
  <c r="AS100"/>
  <c r="AV100" s="1"/>
  <c r="AS104"/>
  <c r="AV104" s="1"/>
  <c r="AS108"/>
  <c r="AS112"/>
  <c r="AV112" s="1"/>
  <c r="AS116"/>
  <c r="AV116" s="1"/>
  <c r="AS120"/>
  <c r="AV120" s="1"/>
  <c r="AS124"/>
  <c r="AV124" s="1"/>
  <c r="AS128"/>
  <c r="AV128" s="1"/>
  <c r="AS132"/>
  <c r="AV132" s="1"/>
  <c r="AS136"/>
  <c r="AV136" s="1"/>
  <c r="AS140"/>
  <c r="AV140" s="1"/>
  <c r="AS144"/>
  <c r="AV144" s="1"/>
  <c r="AS148"/>
  <c r="AV148" s="1"/>
  <c r="AS152"/>
  <c r="AV152" s="1"/>
  <c r="AS156"/>
  <c r="AV156" s="1"/>
  <c r="AS160"/>
  <c r="AV160" s="1"/>
  <c r="AS164"/>
  <c r="AV164" s="1"/>
  <c r="AX167"/>
  <c r="BA171"/>
  <c r="AX173"/>
  <c r="AX175"/>
  <c r="AY178"/>
  <c r="BA183"/>
  <c r="AX186"/>
  <c r="BA191"/>
  <c r="BA197"/>
  <c r="AX199"/>
  <c r="AX202"/>
  <c r="BA207"/>
  <c r="BA213"/>
  <c r="AX215"/>
  <c r="AX218"/>
  <c r="BA223"/>
  <c r="AY226"/>
  <c r="BA229"/>
  <c r="AX231"/>
  <c r="AX235"/>
  <c r="AX239"/>
  <c r="AV240"/>
  <c r="AY240" s="1"/>
  <c r="AX243"/>
  <c r="AX247"/>
  <c r="AV248"/>
  <c r="AY248" s="1"/>
  <c r="AX251"/>
  <c r="AX255"/>
  <c r="AV257"/>
  <c r="BA255"/>
  <c r="AY255"/>
  <c r="BA259"/>
  <c r="BA263"/>
  <c r="BA283"/>
  <c r="AW286"/>
  <c r="AZ286" s="1"/>
  <c r="AS286"/>
  <c r="AW287"/>
  <c r="AZ287" s="1"/>
  <c r="AS287"/>
  <c r="AW293"/>
  <c r="AZ293" s="1"/>
  <c r="AS293"/>
  <c r="AV293" s="1"/>
  <c r="AW304"/>
  <c r="AZ304" s="1"/>
  <c r="AS304"/>
  <c r="AW305"/>
  <c r="AZ305" s="1"/>
  <c r="AS305"/>
  <c r="AV305" s="1"/>
  <c r="AW314"/>
  <c r="AZ314" s="1"/>
  <c r="AS314"/>
  <c r="AW322"/>
  <c r="AZ322" s="1"/>
  <c r="AS322"/>
  <c r="AW333"/>
  <c r="AZ333" s="1"/>
  <c r="AS333"/>
  <c r="AV333" s="1"/>
  <c r="AW341"/>
  <c r="AZ341" s="1"/>
  <c r="AS341"/>
  <c r="AV341" s="1"/>
  <c r="AW353"/>
  <c r="AZ353" s="1"/>
  <c r="AS353"/>
  <c r="AV353" s="1"/>
  <c r="AW365"/>
  <c r="AZ365" s="1"/>
  <c r="AS365"/>
  <c r="AV365" s="1"/>
  <c r="AW373"/>
  <c r="AZ373" s="1"/>
  <c r="AS373"/>
  <c r="AV373" s="1"/>
  <c r="AS184"/>
  <c r="AV184" s="1"/>
  <c r="BA184"/>
  <c r="AS188"/>
  <c r="AV188" s="1"/>
  <c r="BA188"/>
  <c r="AS192"/>
  <c r="AV192" s="1"/>
  <c r="BA192"/>
  <c r="AV193"/>
  <c r="AY193" s="1"/>
  <c r="AS196"/>
  <c r="AV196" s="1"/>
  <c r="BA196"/>
  <c r="AS200"/>
  <c r="AV200" s="1"/>
  <c r="BA200"/>
  <c r="AS204"/>
  <c r="AV204" s="1"/>
  <c r="BA204"/>
  <c r="AS208"/>
  <c r="AV208" s="1"/>
  <c r="BA208"/>
  <c r="AV209"/>
  <c r="AY209" s="1"/>
  <c r="AS212"/>
  <c r="AV212" s="1"/>
  <c r="BA212"/>
  <c r="AS216"/>
  <c r="AV216" s="1"/>
  <c r="BA216"/>
  <c r="AS220"/>
  <c r="AV220" s="1"/>
  <c r="BA220"/>
  <c r="AS224"/>
  <c r="AV224" s="1"/>
  <c r="BA224"/>
  <c r="AV225"/>
  <c r="AY225" s="1"/>
  <c r="AS228"/>
  <c r="AV228" s="1"/>
  <c r="BA228"/>
  <c r="AS232"/>
  <c r="AV232" s="1"/>
  <c r="BA232"/>
  <c r="AS236"/>
  <c r="AV236" s="1"/>
  <c r="BA236"/>
  <c r="AY238"/>
  <c r="AS240"/>
  <c r="BA240"/>
  <c r="AS244"/>
  <c r="AV244" s="1"/>
  <c r="BA244"/>
  <c r="AY246"/>
  <c r="AS248"/>
  <c r="BA248"/>
  <c r="AS252"/>
  <c r="AV252" s="1"/>
  <c r="BA252"/>
  <c r="AY254"/>
  <c r="AV258"/>
  <c r="AY258" s="1"/>
  <c r="AV262"/>
  <c r="AY262" s="1"/>
  <c r="AS264"/>
  <c r="AX270"/>
  <c r="AV284"/>
  <c r="AY284" s="1"/>
  <c r="AX288"/>
  <c r="AX289"/>
  <c r="AX313"/>
  <c r="AV336"/>
  <c r="AY336" s="1"/>
  <c r="AX349"/>
  <c r="BA267"/>
  <c r="AY267"/>
  <c r="BA271"/>
  <c r="AY271"/>
  <c r="BA275"/>
  <c r="AY275"/>
  <c r="BA279"/>
  <c r="AY279"/>
  <c r="AV287"/>
  <c r="AX287" s="1"/>
  <c r="BA287"/>
  <c r="AY287"/>
  <c r="AW289"/>
  <c r="AZ289" s="1"/>
  <c r="AS289"/>
  <c r="AV289" s="1"/>
  <c r="AW313"/>
  <c r="AZ313" s="1"/>
  <c r="AS313"/>
  <c r="AV313" s="1"/>
  <c r="AW321"/>
  <c r="AZ321" s="1"/>
  <c r="AS321"/>
  <c r="AV321" s="1"/>
  <c r="AX321" s="1"/>
  <c r="AW330"/>
  <c r="AZ330" s="1"/>
  <c r="AS330"/>
  <c r="AV330" s="1"/>
  <c r="AW336"/>
  <c r="AZ336" s="1"/>
  <c r="AS336"/>
  <c r="AW337"/>
  <c r="AZ337" s="1"/>
  <c r="AS337"/>
  <c r="AV337" s="1"/>
  <c r="AX337" s="1"/>
  <c r="AW349"/>
  <c r="AZ349" s="1"/>
  <c r="AS349"/>
  <c r="AV349" s="1"/>
  <c r="AW362"/>
  <c r="AZ362" s="1"/>
  <c r="AS362"/>
  <c r="AW370"/>
  <c r="AZ370" s="1"/>
  <c r="AS370"/>
  <c r="AX256"/>
  <c r="AX260"/>
  <c r="AX263"/>
  <c r="AV266"/>
  <c r="AY266" s="1"/>
  <c r="AV270"/>
  <c r="AY270" s="1"/>
  <c r="AV274"/>
  <c r="AY274" s="1"/>
  <c r="AV278"/>
  <c r="AY278" s="1"/>
  <c r="AX281"/>
  <c r="AV288"/>
  <c r="AY288" s="1"/>
  <c r="AX300"/>
  <c r="AX302"/>
  <c r="AX304"/>
  <c r="AV310"/>
  <c r="AY310" s="1"/>
  <c r="AX328"/>
  <c r="AV335"/>
  <c r="AY335" s="1"/>
  <c r="AX346"/>
  <c r="AX360"/>
  <c r="AV367"/>
  <c r="AY367" s="1"/>
  <c r="AX368"/>
  <c r="AY257"/>
  <c r="BA257"/>
  <c r="BA261"/>
  <c r="AW265"/>
  <c r="AZ265" s="1"/>
  <c r="AS265"/>
  <c r="AV265" s="1"/>
  <c r="AW269"/>
  <c r="AZ269" s="1"/>
  <c r="AS269"/>
  <c r="AV269" s="1"/>
  <c r="AW273"/>
  <c r="AZ273" s="1"/>
  <c r="AS273"/>
  <c r="AV273" s="1"/>
  <c r="AW277"/>
  <c r="AZ277" s="1"/>
  <c r="AS277"/>
  <c r="AV277" s="1"/>
  <c r="AW281"/>
  <c r="AZ281" s="1"/>
  <c r="AS281"/>
  <c r="AV281" s="1"/>
  <c r="AW301"/>
  <c r="AZ301" s="1"/>
  <c r="AS301"/>
  <c r="AV301" s="1"/>
  <c r="AX301" s="1"/>
  <c r="AW310"/>
  <c r="AZ310" s="1"/>
  <c r="AS310"/>
  <c r="AW318"/>
  <c r="AZ318" s="1"/>
  <c r="AS318"/>
  <c r="AV318" s="1"/>
  <c r="AW329"/>
  <c r="AZ329" s="1"/>
  <c r="AS329"/>
  <c r="AV329" s="1"/>
  <c r="AX329" s="1"/>
  <c r="AW344"/>
  <c r="AZ344" s="1"/>
  <c r="AS344"/>
  <c r="AV344" s="1"/>
  <c r="AW345"/>
  <c r="AZ345" s="1"/>
  <c r="AS345"/>
  <c r="AV345" s="1"/>
  <c r="AX345" s="1"/>
  <c r="AW361"/>
  <c r="AZ361" s="1"/>
  <c r="AS361"/>
  <c r="AV361" s="1"/>
  <c r="AX361" s="1"/>
  <c r="AW369"/>
  <c r="AZ369" s="1"/>
  <c r="AS369"/>
  <c r="AV369" s="1"/>
  <c r="AX369" s="1"/>
  <c r="AX285"/>
  <c r="AX296"/>
  <c r="AX298"/>
  <c r="AX308"/>
  <c r="AX316"/>
  <c r="AX325"/>
  <c r="AX370"/>
  <c r="AW259"/>
  <c r="AZ259" s="1"/>
  <c r="AS259"/>
  <c r="AV259" s="1"/>
  <c r="AX259" s="1"/>
  <c r="AW263"/>
  <c r="AZ263" s="1"/>
  <c r="AS263"/>
  <c r="AV263" s="1"/>
  <c r="AY263" s="1"/>
  <c r="BA265"/>
  <c r="BA269"/>
  <c r="BA273"/>
  <c r="BA277"/>
  <c r="AW282"/>
  <c r="AZ282" s="1"/>
  <c r="AS282"/>
  <c r="AV282" s="1"/>
  <c r="AW283"/>
  <c r="AZ283" s="1"/>
  <c r="AS283"/>
  <c r="AV283" s="1"/>
  <c r="AW285"/>
  <c r="AZ285" s="1"/>
  <c r="AS285"/>
  <c r="AV285" s="1"/>
  <c r="AW297"/>
  <c r="AZ297" s="1"/>
  <c r="AS297"/>
  <c r="AV297" s="1"/>
  <c r="AX297" s="1"/>
  <c r="AW309"/>
  <c r="AZ309" s="1"/>
  <c r="AS309"/>
  <c r="AV309" s="1"/>
  <c r="AX309" s="1"/>
  <c r="AW317"/>
  <c r="AZ317" s="1"/>
  <c r="AS317"/>
  <c r="AV317" s="1"/>
  <c r="AX317" s="1"/>
  <c r="AW325"/>
  <c r="AZ325" s="1"/>
  <c r="AS325"/>
  <c r="AV325" s="1"/>
  <c r="AW334"/>
  <c r="AZ334" s="1"/>
  <c r="AS334"/>
  <c r="AV334" s="1"/>
  <c r="AW357"/>
  <c r="AZ357" s="1"/>
  <c r="AS357"/>
  <c r="AV357" s="1"/>
  <c r="AX357" s="1"/>
  <c r="AW366"/>
  <c r="AZ366" s="1"/>
  <c r="AS366"/>
  <c r="AV366" s="1"/>
  <c r="AW374"/>
  <c r="AZ374" s="1"/>
  <c r="AS374"/>
  <c r="AV374" s="1"/>
  <c r="AS185"/>
  <c r="AV185" s="1"/>
  <c r="AS189"/>
  <c r="AV189" s="1"/>
  <c r="AS193"/>
  <c r="AS197"/>
  <c r="AV197" s="1"/>
  <c r="AS201"/>
  <c r="AV201" s="1"/>
  <c r="AS205"/>
  <c r="AV205" s="1"/>
  <c r="AS209"/>
  <c r="AS213"/>
  <c r="AV213" s="1"/>
  <c r="AS217"/>
  <c r="AV217" s="1"/>
  <c r="AS221"/>
  <c r="AV221" s="1"/>
  <c r="AS225"/>
  <c r="AS229"/>
  <c r="AV229" s="1"/>
  <c r="AS233"/>
  <c r="AV233" s="1"/>
  <c r="AS237"/>
  <c r="AV237" s="1"/>
  <c r="AS241"/>
  <c r="AV241" s="1"/>
  <c r="AS245"/>
  <c r="AV245" s="1"/>
  <c r="AS249"/>
  <c r="AV249" s="1"/>
  <c r="AS253"/>
  <c r="AV253" s="1"/>
  <c r="AX257"/>
  <c r="AX258"/>
  <c r="AX262"/>
  <c r="AV264"/>
  <c r="AY264" s="1"/>
  <c r="AV268"/>
  <c r="AY268" s="1"/>
  <c r="AV272"/>
  <c r="AY272" s="1"/>
  <c r="AV276"/>
  <c r="AY276" s="1"/>
  <c r="AV280"/>
  <c r="AY280" s="1"/>
  <c r="AX284"/>
  <c r="AV286"/>
  <c r="AY286" s="1"/>
  <c r="AV291"/>
  <c r="AX293"/>
  <c r="AV304"/>
  <c r="AY304" s="1"/>
  <c r="AX305"/>
  <c r="AX310"/>
  <c r="AV314"/>
  <c r="AY314" s="1"/>
  <c r="AV322"/>
  <c r="AY322" s="1"/>
  <c r="AX333"/>
  <c r="AX341"/>
  <c r="AX353"/>
  <c r="AV362"/>
  <c r="AY362" s="1"/>
  <c r="AX365"/>
  <c r="AV370"/>
  <c r="AY370" s="1"/>
  <c r="AV371"/>
  <c r="AY371" s="1"/>
  <c r="AX373"/>
  <c r="BA281"/>
  <c r="BA285"/>
  <c r="BA289"/>
  <c r="AY291"/>
  <c r="BA293"/>
  <c r="BA297"/>
  <c r="BA301"/>
  <c r="BA305"/>
  <c r="BA309"/>
  <c r="BA313"/>
  <c r="BA317"/>
  <c r="BA321"/>
  <c r="BA325"/>
  <c r="BA329"/>
  <c r="BA333"/>
  <c r="BA337"/>
  <c r="BA341"/>
  <c r="BA345"/>
  <c r="BA349"/>
  <c r="BA353"/>
  <c r="BA357"/>
  <c r="BA361"/>
  <c r="BA365"/>
  <c r="BA369"/>
  <c r="BA373"/>
  <c r="AX291"/>
  <c r="AX371"/>
  <c r="BA376"/>
  <c r="AY281"/>
  <c r="AY285"/>
  <c r="AY289"/>
  <c r="AS291"/>
  <c r="BA291"/>
  <c r="AY293"/>
  <c r="AS295"/>
  <c r="AV295" s="1"/>
  <c r="BA295"/>
  <c r="AS299"/>
  <c r="AV299" s="1"/>
  <c r="BA299"/>
  <c r="AY301"/>
  <c r="AS303"/>
  <c r="AV303" s="1"/>
  <c r="BA303"/>
  <c r="AY305"/>
  <c r="AS307"/>
  <c r="AV307" s="1"/>
  <c r="BA307"/>
  <c r="AY309"/>
  <c r="AS311"/>
  <c r="AV311" s="1"/>
  <c r="BA311"/>
  <c r="AY313"/>
  <c r="AS315"/>
  <c r="AV315" s="1"/>
  <c r="BA315"/>
  <c r="AS319"/>
  <c r="AV319" s="1"/>
  <c r="BA319"/>
  <c r="AY321"/>
  <c r="AS323"/>
  <c r="AV323" s="1"/>
  <c r="BA323"/>
  <c r="AY325"/>
  <c r="AS327"/>
  <c r="AV327" s="1"/>
  <c r="BA327"/>
  <c r="AY329"/>
  <c r="AS331"/>
  <c r="AV331" s="1"/>
  <c r="BA331"/>
  <c r="AY333"/>
  <c r="AS335"/>
  <c r="BA335"/>
  <c r="AY337"/>
  <c r="AS339"/>
  <c r="AV339" s="1"/>
  <c r="BA339"/>
  <c r="AY341"/>
  <c r="AS343"/>
  <c r="AV343" s="1"/>
  <c r="BA343"/>
  <c r="AY345"/>
  <c r="AS347"/>
  <c r="AV347" s="1"/>
  <c r="BA347"/>
  <c r="AY349"/>
  <c r="AS351"/>
  <c r="AV351" s="1"/>
  <c r="BA351"/>
  <c r="AY353"/>
  <c r="AS355"/>
  <c r="AV355" s="1"/>
  <c r="BA355"/>
  <c r="AY357"/>
  <c r="AS359"/>
  <c r="AV359" s="1"/>
  <c r="BA359"/>
  <c r="AY361"/>
  <c r="AS363"/>
  <c r="AV363" s="1"/>
  <c r="BA363"/>
  <c r="AY365"/>
  <c r="AS367"/>
  <c r="BA367"/>
  <c r="AY369"/>
  <c r="AS371"/>
  <c r="BA371"/>
  <c r="AY373"/>
  <c r="AS375"/>
  <c r="AV375" s="1"/>
  <c r="BA375"/>
  <c r="AV376"/>
  <c r="AX376" s="1"/>
  <c r="AY363" l="1"/>
  <c r="AX363"/>
  <c r="AY347"/>
  <c r="AX347"/>
  <c r="AY331"/>
  <c r="AX331"/>
  <c r="AY303"/>
  <c r="AX303"/>
  <c r="AY241"/>
  <c r="AX241"/>
  <c r="AX273"/>
  <c r="AY273"/>
  <c r="AX265"/>
  <c r="AY265"/>
  <c r="AY220"/>
  <c r="AX220"/>
  <c r="AY212"/>
  <c r="AX212"/>
  <c r="AY192"/>
  <c r="AX192"/>
  <c r="AY184"/>
  <c r="AX184"/>
  <c r="AY156"/>
  <c r="AX156"/>
  <c r="AY140"/>
  <c r="AX140"/>
  <c r="AY124"/>
  <c r="AX124"/>
  <c r="AY159"/>
  <c r="AX159"/>
  <c r="AY147"/>
  <c r="AX147"/>
  <c r="AY127"/>
  <c r="AX127"/>
  <c r="AY115"/>
  <c r="AX115"/>
  <c r="AY13"/>
  <c r="AX13"/>
  <c r="AX84"/>
  <c r="AY84"/>
  <c r="AX68"/>
  <c r="AY68"/>
  <c r="AX52"/>
  <c r="AY52"/>
  <c r="AY43"/>
  <c r="AX43"/>
  <c r="AX19"/>
  <c r="AY19"/>
  <c r="AY63"/>
  <c r="AX63"/>
  <c r="AY47"/>
  <c r="AX47"/>
  <c r="AY40"/>
  <c r="AX40"/>
  <c r="AY27"/>
  <c r="AX27"/>
  <c r="AY16"/>
  <c r="AX16"/>
  <c r="AX375"/>
  <c r="AY375"/>
  <c r="AX359"/>
  <c r="AY359"/>
  <c r="AX343"/>
  <c r="AY343"/>
  <c r="AX327"/>
  <c r="AY327"/>
  <c r="AY315"/>
  <c r="AX315"/>
  <c r="AY299"/>
  <c r="AX299"/>
  <c r="AY245"/>
  <c r="AX245"/>
  <c r="AY229"/>
  <c r="AX229"/>
  <c r="AY213"/>
  <c r="AX213"/>
  <c r="AY197"/>
  <c r="AX197"/>
  <c r="AY374"/>
  <c r="AX374"/>
  <c r="AY282"/>
  <c r="AX282"/>
  <c r="AY236"/>
  <c r="AX236"/>
  <c r="AY228"/>
  <c r="AX228"/>
  <c r="AY208"/>
  <c r="AX208"/>
  <c r="AY200"/>
  <c r="AX200"/>
  <c r="AY160"/>
  <c r="AX160"/>
  <c r="AY144"/>
  <c r="AX144"/>
  <c r="AY128"/>
  <c r="AX128"/>
  <c r="AY112"/>
  <c r="AX112"/>
  <c r="AY96"/>
  <c r="AX96"/>
  <c r="AY261"/>
  <c r="AX261"/>
  <c r="AY176"/>
  <c r="AX176"/>
  <c r="AY155"/>
  <c r="AX155"/>
  <c r="AY135"/>
  <c r="AX135"/>
  <c r="AY123"/>
  <c r="AX123"/>
  <c r="AY95"/>
  <c r="AX95"/>
  <c r="AY74"/>
  <c r="AX74"/>
  <c r="AY64"/>
  <c r="AX64"/>
  <c r="AY48"/>
  <c r="AX48"/>
  <c r="AY14"/>
  <c r="AX14"/>
  <c r="AY355"/>
  <c r="AX355"/>
  <c r="AY339"/>
  <c r="AX339"/>
  <c r="AY323"/>
  <c r="AX323"/>
  <c r="AX311"/>
  <c r="AY311"/>
  <c r="AY249"/>
  <c r="AX249"/>
  <c r="AY233"/>
  <c r="AX233"/>
  <c r="AY217"/>
  <c r="AX217"/>
  <c r="AY201"/>
  <c r="AX201"/>
  <c r="AY185"/>
  <c r="AX185"/>
  <c r="AY344"/>
  <c r="AX344"/>
  <c r="AY318"/>
  <c r="AX318"/>
  <c r="AX277"/>
  <c r="AY277"/>
  <c r="AX269"/>
  <c r="AY269"/>
  <c r="AY330"/>
  <c r="AX330"/>
  <c r="AY244"/>
  <c r="AX244"/>
  <c r="AY224"/>
  <c r="AX224"/>
  <c r="AY216"/>
  <c r="AX216"/>
  <c r="AY188"/>
  <c r="AX188"/>
  <c r="AY164"/>
  <c r="AX164"/>
  <c r="AY148"/>
  <c r="AX148"/>
  <c r="AY132"/>
  <c r="AX132"/>
  <c r="AY116"/>
  <c r="AX116"/>
  <c r="AY100"/>
  <c r="AX100"/>
  <c r="AY163"/>
  <c r="AX163"/>
  <c r="AY143"/>
  <c r="AX143"/>
  <c r="AY131"/>
  <c r="AX131"/>
  <c r="AY111"/>
  <c r="AX111"/>
  <c r="AY91"/>
  <c r="AX91"/>
  <c r="AY171"/>
  <c r="AX171"/>
  <c r="AY88"/>
  <c r="AX88"/>
  <c r="AY82"/>
  <c r="AX82"/>
  <c r="AY76"/>
  <c r="AX76"/>
  <c r="AY60"/>
  <c r="AX60"/>
  <c r="AY44"/>
  <c r="AX44"/>
  <c r="AX6"/>
  <c r="AY6"/>
  <c r="AY55"/>
  <c r="AX55"/>
  <c r="AY38"/>
  <c r="AX38"/>
  <c r="AY351"/>
  <c r="AX351"/>
  <c r="AY319"/>
  <c r="AX319"/>
  <c r="AY307"/>
  <c r="AX307"/>
  <c r="AX295"/>
  <c r="AY295"/>
  <c r="AY253"/>
  <c r="AX253"/>
  <c r="AY237"/>
  <c r="AX237"/>
  <c r="AY221"/>
  <c r="AX221"/>
  <c r="AY205"/>
  <c r="AX205"/>
  <c r="AY189"/>
  <c r="AX189"/>
  <c r="AY366"/>
  <c r="AX366"/>
  <c r="AY334"/>
  <c r="AX334"/>
  <c r="AX283"/>
  <c r="AY283"/>
  <c r="AY252"/>
  <c r="AX252"/>
  <c r="AY232"/>
  <c r="AX232"/>
  <c r="AY204"/>
  <c r="AX204"/>
  <c r="AY196"/>
  <c r="AX196"/>
  <c r="AY152"/>
  <c r="AX152"/>
  <c r="AY136"/>
  <c r="AX136"/>
  <c r="AY120"/>
  <c r="AX120"/>
  <c r="AY104"/>
  <c r="AX104"/>
  <c r="AY179"/>
  <c r="AX179"/>
  <c r="AY151"/>
  <c r="AX151"/>
  <c r="AY139"/>
  <c r="AX139"/>
  <c r="AY119"/>
  <c r="AX119"/>
  <c r="AY99"/>
  <c r="AX99"/>
  <c r="AX9"/>
  <c r="AY9"/>
  <c r="AY56"/>
  <c r="AX56"/>
  <c r="AY79"/>
  <c r="AX79"/>
  <c r="AY10"/>
  <c r="AX10"/>
  <c r="AY22"/>
  <c r="AX22"/>
  <c r="AY317"/>
  <c r="AX280"/>
  <c r="AX264"/>
  <c r="AX225"/>
  <c r="AX209"/>
  <c r="AX193"/>
  <c r="AX314"/>
  <c r="AX286"/>
  <c r="AY250"/>
  <c r="AY242"/>
  <c r="AY259"/>
  <c r="AX190"/>
  <c r="AX227"/>
  <c r="AY169"/>
  <c r="AX105"/>
  <c r="AX98"/>
  <c r="AX90"/>
  <c r="AY72"/>
  <c r="AY101"/>
  <c r="AY93"/>
  <c r="AX161"/>
  <c r="AX153"/>
  <c r="AX145"/>
  <c r="AX137"/>
  <c r="AX129"/>
  <c r="AX121"/>
  <c r="AX61"/>
  <c r="AX45"/>
  <c r="AX39"/>
  <c r="AY37"/>
  <c r="AX71"/>
  <c r="AX51"/>
  <c r="AX62"/>
  <c r="AX54"/>
  <c r="AX46"/>
  <c r="AY297"/>
  <c r="AX367"/>
  <c r="AX335"/>
  <c r="AX362"/>
  <c r="AX336"/>
  <c r="AX268"/>
  <c r="AX274"/>
  <c r="AX266"/>
  <c r="AX170"/>
  <c r="AY214"/>
  <c r="AX248"/>
  <c r="AX211"/>
  <c r="AX198"/>
  <c r="AX172"/>
  <c r="AX180"/>
  <c r="AX57"/>
  <c r="AY65"/>
  <c r="AY49"/>
  <c r="AX26"/>
  <c r="J19"/>
  <c r="AX59"/>
  <c r="AX272"/>
  <c r="AX322"/>
  <c r="AY234"/>
  <c r="AX53"/>
  <c r="AX87"/>
  <c r="AX67"/>
  <c r="AX11"/>
  <c r="AY376"/>
  <c r="AX276"/>
  <c r="AX278"/>
  <c r="AX240"/>
  <c r="AX195"/>
  <c r="AX168"/>
  <c r="AX103"/>
  <c r="AX107"/>
  <c r="AX42"/>
  <c r="AX29"/>
  <c r="E4" i="2" l="1"/>
  <c r="E29"/>
  <c r="E22"/>
  <c r="E14"/>
  <c r="E19"/>
  <c r="E15"/>
  <c r="E7"/>
  <c r="E6"/>
  <c r="E31"/>
  <c r="E30"/>
  <c r="E23"/>
  <c r="E20"/>
  <c r="E18"/>
  <c r="E5"/>
  <c r="E27"/>
  <c r="E26"/>
  <c r="E25"/>
  <c r="E24"/>
  <c r="E12"/>
  <c r="E32"/>
  <c r="E28"/>
  <c r="E13"/>
  <c r="E9"/>
  <c r="E8"/>
  <c r="E21"/>
  <c r="E17"/>
  <c r="E16"/>
  <c r="E11"/>
  <c r="E10"/>
  <c r="J9" i="1"/>
  <c r="K9"/>
</calcChain>
</file>

<file path=xl/comments1.xml><?xml version="1.0" encoding="utf-8"?>
<comments xmlns="http://schemas.openxmlformats.org/spreadsheetml/2006/main">
  <authors>
    <author>Author</author>
    <author>Microsoft</author>
  </authors>
  <commentList>
    <comment ref="N1" authorId="0">
      <text>
        <r>
          <rPr>
            <b/>
            <u/>
            <sz val="12"/>
            <color indexed="81"/>
            <rFont val="Arial"/>
            <family val="2"/>
          </rPr>
          <t>Note:</t>
        </r>
        <r>
          <rPr>
            <sz val="12"/>
            <color indexed="81"/>
            <rFont val="Arial"/>
            <family val="2"/>
          </rPr>
          <t xml:space="preserve">  
The shapes and data listed below in </t>
        </r>
        <r>
          <rPr>
            <i/>
            <sz val="12"/>
            <color indexed="81"/>
            <rFont val="Arial"/>
            <family val="2"/>
          </rPr>
          <t>"</t>
        </r>
        <r>
          <rPr>
            <b/>
            <i/>
            <sz val="12"/>
            <color indexed="10"/>
            <rFont val="Arial"/>
            <family val="2"/>
          </rPr>
          <t>RED</t>
        </r>
        <r>
          <rPr>
            <i/>
            <sz val="12"/>
            <color indexed="81"/>
            <rFont val="Arial"/>
            <family val="2"/>
          </rPr>
          <t>"</t>
        </r>
        <r>
          <rPr>
            <sz val="12"/>
            <color indexed="81"/>
            <rFont val="Arial"/>
            <family val="2"/>
          </rPr>
          <t xml:space="preserve"> are shapes that are in the original AISC 9th Edition (ASD) Manual, but are now not listed in the current AISC Shapes Database CD-ROM, Version 3.0 (2001).
The shapes and data listed below in </t>
        </r>
        <r>
          <rPr>
            <i/>
            <sz val="12"/>
            <color indexed="81"/>
            <rFont val="Arial"/>
            <family val="2"/>
          </rPr>
          <t>"</t>
        </r>
        <r>
          <rPr>
            <b/>
            <i/>
            <sz val="12"/>
            <color indexed="11"/>
            <rFont val="Arial"/>
            <family val="2"/>
          </rPr>
          <t>GREEN</t>
        </r>
        <r>
          <rPr>
            <i/>
            <sz val="12"/>
            <color indexed="81"/>
            <rFont val="Arial"/>
            <family val="2"/>
          </rPr>
          <t>"</t>
        </r>
        <r>
          <rPr>
            <sz val="12"/>
            <color indexed="81"/>
            <rFont val="Arial"/>
            <family val="2"/>
          </rPr>
          <t xml:space="preserve"> are shapes that are not in the original AISC 9th Edition (ASD) Manual, having been added in the current AISC Shapes Database CD-ROM, Version 3.0 (2001).</t>
        </r>
      </text>
    </comment>
    <comment ref="B3" authorId="1">
      <text>
        <r>
          <rPr>
            <b/>
            <sz val="9"/>
            <color indexed="81"/>
            <rFont val="Tahoma"/>
            <family val="2"/>
          </rPr>
          <t>Microsoft:</t>
        </r>
        <r>
          <rPr>
            <sz val="9"/>
            <color indexed="81"/>
            <rFont val="Tahoma"/>
            <family val="2"/>
          </rPr>
          <t xml:space="preserve">
VLOOKUP used here and other cells below </t>
        </r>
      </text>
    </comment>
  </commentList>
</comments>
</file>

<file path=xl/sharedStrings.xml><?xml version="1.0" encoding="utf-8"?>
<sst xmlns="http://schemas.openxmlformats.org/spreadsheetml/2006/main" count="1686" uniqueCount="610">
  <si>
    <t>HI</t>
  </si>
  <si>
    <t>Good</t>
  </si>
  <si>
    <t>None</t>
  </si>
  <si>
    <t>Hello</t>
  </si>
  <si>
    <t>Sample</t>
  </si>
  <si>
    <t>Numbers</t>
  </si>
  <si>
    <t>Drop Down Menu</t>
  </si>
  <si>
    <t>DropDownMenu</t>
  </si>
  <si>
    <t>countif function</t>
  </si>
  <si>
    <t>to count except empty cells</t>
  </si>
  <si>
    <t>Aptitude Score</t>
  </si>
  <si>
    <t>SN</t>
  </si>
  <si>
    <t>Student Name</t>
  </si>
  <si>
    <t>Student ID</t>
  </si>
  <si>
    <t>Score (100%)</t>
  </si>
  <si>
    <t>GPA</t>
  </si>
  <si>
    <t>ID</t>
  </si>
  <si>
    <t>DESIGN OF ROLLED DOUBLY SYMETRIC I-BEAM AS PER AISC-LRFD (14th Edition)</t>
  </si>
  <si>
    <t>web</t>
  </si>
  <si>
    <t>Shape</t>
  </si>
  <si>
    <t>A</t>
  </si>
  <si>
    <t>d</t>
  </si>
  <si>
    <t>tw</t>
  </si>
  <si>
    <t>bf</t>
  </si>
  <si>
    <t>tf</t>
  </si>
  <si>
    <t>k</t>
  </si>
  <si>
    <t>k1</t>
  </si>
  <si>
    <t>bf/2tf</t>
  </si>
  <si>
    <t>Fy'</t>
  </si>
  <si>
    <t>h/tw</t>
  </si>
  <si>
    <t>rts</t>
  </si>
  <si>
    <t>d/Af</t>
  </si>
  <si>
    <t>Ix</t>
  </si>
  <si>
    <t>Sx</t>
  </si>
  <si>
    <t>rx</t>
  </si>
  <si>
    <t>Iy</t>
  </si>
  <si>
    <t>Sy</t>
  </si>
  <si>
    <t>ry</t>
  </si>
  <si>
    <t>Zx</t>
  </si>
  <si>
    <t>Zy</t>
  </si>
  <si>
    <t>J</t>
  </si>
  <si>
    <t>Cw</t>
  </si>
  <si>
    <t>Wno</t>
  </si>
  <si>
    <t>Sw</t>
  </si>
  <si>
    <t>Qf</t>
  </si>
  <si>
    <t>Qw</t>
  </si>
  <si>
    <t>T</t>
  </si>
  <si>
    <t>gage</t>
  </si>
  <si>
    <t>Lp (in)</t>
  </si>
  <si>
    <t>ho (in)</t>
  </si>
  <si>
    <t>Lr (in)</t>
  </si>
  <si>
    <t>Mpx (zone1) (k.in)</t>
  </si>
  <si>
    <t>Mr (K.in)</t>
  </si>
  <si>
    <t>BF (K)</t>
  </si>
  <si>
    <t>Fcr (Ksi)</t>
  </si>
  <si>
    <t>Lm (in)</t>
  </si>
  <si>
    <t>Mn zone2 (k.in)</t>
  </si>
  <si>
    <t>Mn zone3 (k.in)</t>
  </si>
  <si>
    <t>FLB (k.in)</t>
  </si>
  <si>
    <t>Mpy  (k.in)</t>
  </si>
  <si>
    <t>h (in)</t>
  </si>
  <si>
    <t>Aw (in2)</t>
  </si>
  <si>
    <t>d/tw</t>
  </si>
  <si>
    <t>rt</t>
  </si>
  <si>
    <t>Beam Section</t>
  </si>
  <si>
    <t>W12x22</t>
  </si>
  <si>
    <t>λp</t>
  </si>
  <si>
    <t>HP14x117</t>
  </si>
  <si>
    <t>11-1/4</t>
  </si>
  <si>
    <t>5-1/2</t>
  </si>
  <si>
    <t>d (inch)</t>
  </si>
  <si>
    <t>d (mm)</t>
  </si>
  <si>
    <t>λr</t>
  </si>
  <si>
    <t>HP14x102</t>
  </si>
  <si>
    <t>bf (inch)</t>
  </si>
  <si>
    <t>bf (mm)</t>
  </si>
  <si>
    <r>
      <rPr>
        <b/>
        <sz val="10"/>
        <rFont val="Calibri"/>
        <family val="2"/>
      </rPr>
      <t>λ</t>
    </r>
    <r>
      <rPr>
        <b/>
        <sz val="10"/>
        <rFont val="Arial"/>
        <family val="2"/>
      </rPr>
      <t>=h/tw</t>
    </r>
  </si>
  <si>
    <t>HP14x89</t>
  </si>
  <si>
    <t>tf (inch)</t>
  </si>
  <si>
    <t>tf (mm)</t>
  </si>
  <si>
    <t>HP14x73</t>
  </si>
  <si>
    <t>tw (inch)</t>
  </si>
  <si>
    <t>tw (mm)</t>
  </si>
  <si>
    <t>HP13x100</t>
  </si>
  <si>
    <t>10-1/4</t>
  </si>
  <si>
    <t>Ag (in2)</t>
  </si>
  <si>
    <t>Ag (mm2)</t>
  </si>
  <si>
    <t>Lp</t>
  </si>
  <si>
    <t>in</t>
  </si>
  <si>
    <t>Ft</t>
  </si>
  <si>
    <t>HP13x87</t>
  </si>
  <si>
    <t>Lm</t>
  </si>
  <si>
    <t>HP13x73</t>
  </si>
  <si>
    <t>Material Properties</t>
  </si>
  <si>
    <t>Lr</t>
  </si>
  <si>
    <t>HP13x60</t>
  </si>
  <si>
    <t>E (Ksi)</t>
  </si>
  <si>
    <t>E (Mpa)</t>
  </si>
  <si>
    <t>Mpx</t>
  </si>
  <si>
    <t>Kip.in</t>
  </si>
  <si>
    <t>HP12x84</t>
  </si>
  <si>
    <t>9-1/2</t>
  </si>
  <si>
    <t>Fy (Ksi)</t>
  </si>
  <si>
    <t>Fy (Mpa)</t>
  </si>
  <si>
    <t>Mr</t>
  </si>
  <si>
    <t>HP12x74</t>
  </si>
  <si>
    <t>beam o.w.(ib/ft)</t>
  </si>
  <si>
    <t>beam o.w.(KN/m)</t>
  </si>
  <si>
    <t>Mpy</t>
  </si>
  <si>
    <t>HP12x63</t>
  </si>
  <si>
    <t>Mn zone2</t>
  </si>
  <si>
    <t>HP12x53</t>
  </si>
  <si>
    <t>Applied forces</t>
  </si>
  <si>
    <t>Mn zone3</t>
  </si>
  <si>
    <t>HP10x57</t>
  </si>
  <si>
    <t>7-1/2</t>
  </si>
  <si>
    <t>Mxu (Kip.Ft)</t>
  </si>
  <si>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>Mn (2,3)</t>
    </r>
  </si>
  <si>
    <t>Kip.Ft</t>
  </si>
  <si>
    <t>HP10x42</t>
  </si>
  <si>
    <t>Myu (Kip.Ft)</t>
  </si>
  <si>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>Mn</t>
    </r>
  </si>
  <si>
    <t>HP8x36</t>
  </si>
  <si>
    <t>5-3/4</t>
  </si>
  <si>
    <t>Qu (Kip)</t>
  </si>
  <si>
    <t>converter</t>
  </si>
  <si>
    <t>M14x18</t>
  </si>
  <si>
    <t>---</t>
  </si>
  <si>
    <t>12-3/4</t>
  </si>
  <si>
    <t>2-1/4</t>
  </si>
  <si>
    <t>m</t>
  </si>
  <si>
    <t>ft</t>
  </si>
  <si>
    <t>FLB</t>
  </si>
  <si>
    <t>M12x11.8</t>
  </si>
  <si>
    <t>10-7/8</t>
  </si>
  <si>
    <t>SPAN</t>
  </si>
  <si>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>MnF</t>
    </r>
  </si>
  <si>
    <t>M12x10.8</t>
  </si>
  <si>
    <t>Lb (ft)</t>
  </si>
  <si>
    <t>M12x10</t>
  </si>
  <si>
    <t>11</t>
  </si>
  <si>
    <t>KN</t>
  </si>
  <si>
    <t>KiP</t>
  </si>
  <si>
    <t>Aw</t>
  </si>
  <si>
    <t>in2</t>
  </si>
  <si>
    <t>M10x9</t>
  </si>
  <si>
    <t>8-7/8</t>
  </si>
  <si>
    <t xml:space="preserve"> Cb</t>
  </si>
  <si>
    <t>Cv</t>
  </si>
  <si>
    <t>M10x8</t>
  </si>
  <si>
    <t>Mmax.  (Kip.Ft)</t>
  </si>
  <si>
    <t>max. moment</t>
  </si>
  <si>
    <t>M10x7.5</t>
  </si>
  <si>
    <t>9-1/8</t>
  </si>
  <si>
    <t>Ma  (Kip.Ft)</t>
  </si>
  <si>
    <t>M @ 0.25L</t>
  </si>
  <si>
    <t>KN.m</t>
  </si>
  <si>
    <t>KiP.ft</t>
  </si>
  <si>
    <t>M8x6.5</t>
  </si>
  <si>
    <t>6-7/8</t>
  </si>
  <si>
    <t>Mb  (Kip.Ft)</t>
  </si>
  <si>
    <t>M @0.5L</t>
  </si>
  <si>
    <t>2.24(E/fy)^0.5</t>
  </si>
  <si>
    <t>M8x6.2</t>
  </si>
  <si>
    <t>7-1/8</t>
  </si>
  <si>
    <t>Mc  (Kip.Ft)</t>
  </si>
  <si>
    <t>M @0.75L</t>
  </si>
  <si>
    <t>1.1(Kv*E/fy)^0.5</t>
  </si>
  <si>
    <t>M6x4.4</t>
  </si>
  <si>
    <t>5-1/4</t>
  </si>
  <si>
    <t>Cb</t>
  </si>
  <si>
    <t>Calculated value</t>
  </si>
  <si>
    <t>Mpa</t>
  </si>
  <si>
    <t>Ksi</t>
  </si>
  <si>
    <t>1.37(Kv*E/fy)^0.5</t>
  </si>
  <si>
    <t>M6x3.7</t>
  </si>
  <si>
    <t>5-3/8</t>
  </si>
  <si>
    <t>Designed value</t>
  </si>
  <si>
    <t>M5x18.9</t>
  </si>
  <si>
    <t>3-3/8</t>
  </si>
  <si>
    <t>M4x8</t>
  </si>
  <si>
    <t>2-3/4</t>
  </si>
  <si>
    <t>CHECK OF MOMENT</t>
  </si>
  <si>
    <t>S24x121</t>
  </si>
  <si>
    <t>20-1/2</t>
  </si>
  <si>
    <t>4</t>
  </si>
  <si>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>Mpx(Kip.Ft)</t>
    </r>
  </si>
  <si>
    <t>X-plastic moment</t>
  </si>
  <si>
    <t>S24x106</t>
  </si>
  <si>
    <t>ΦMpy (Kip.Ft)</t>
  </si>
  <si>
    <t>Y-plastic moment</t>
  </si>
  <si>
    <t>S24x100</t>
  </si>
  <si>
    <t>Lp (ft)</t>
  </si>
  <si>
    <t>Lm (ft)</t>
  </si>
  <si>
    <t>Lr (ft)</t>
  </si>
  <si>
    <t>S24x90</t>
  </si>
  <si>
    <t>ΦMn-LTB(Kip.Ft)</t>
  </si>
  <si>
    <t>lateral torsional buckling flexural strength</t>
  </si>
  <si>
    <t>S24x80</t>
  </si>
  <si>
    <t>S20x96</t>
  </si>
  <si>
    <t>16-3/4</t>
  </si>
  <si>
    <t>S20x86</t>
  </si>
  <si>
    <r>
      <rPr>
        <sz val="10"/>
        <rFont val="Calibri"/>
        <family val="2"/>
      </rPr>
      <t>λ</t>
    </r>
    <r>
      <rPr>
        <sz val="10"/>
        <rFont val="Arial"/>
        <family val="2"/>
      </rPr>
      <t>=bf/2tf</t>
    </r>
  </si>
  <si>
    <t>S20x75</t>
  </si>
  <si>
    <t>3-1/2</t>
  </si>
  <si>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>Mn-FLB (Kip.Ft)</t>
    </r>
  </si>
  <si>
    <t>flange local buckling flexural strength</t>
  </si>
  <si>
    <t>S20x66</t>
  </si>
  <si>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>Mnx (Kip.Ft)</t>
    </r>
  </si>
  <si>
    <t>S18x70</t>
  </si>
  <si>
    <t>15</t>
  </si>
  <si>
    <t>ΦMny (Kip.Ft)</t>
  </si>
  <si>
    <t>S18x54.7</t>
  </si>
  <si>
    <t>Mu/ΦMn</t>
  </si>
  <si>
    <t>S15x50</t>
  </si>
  <si>
    <t>12-1/4</t>
  </si>
  <si>
    <t>S15x42.9</t>
  </si>
  <si>
    <t>CHECK OF SHEAR</t>
  </si>
  <si>
    <t>S12x50</t>
  </si>
  <si>
    <t>3</t>
  </si>
  <si>
    <t>ΦVn (Kip)</t>
  </si>
  <si>
    <t>Vu/ΦVn</t>
  </si>
  <si>
    <t>S12x40.8</t>
  </si>
  <si>
    <t>S12x35</t>
  </si>
  <si>
    <t>9-5/8</t>
  </si>
  <si>
    <t>S12x31.8</t>
  </si>
  <si>
    <t>S10x35</t>
  </si>
  <si>
    <t>7-3/4</t>
  </si>
  <si>
    <t>S10x25.4</t>
  </si>
  <si>
    <t>S8x23</t>
  </si>
  <si>
    <t>6</t>
  </si>
  <si>
    <t>S8x18.4</t>
  </si>
  <si>
    <t>S7x20</t>
  </si>
  <si>
    <t>5-1/8</t>
  </si>
  <si>
    <t>S7x15.3</t>
  </si>
  <si>
    <t>S6x17.25</t>
  </si>
  <si>
    <t>4-3/8</t>
  </si>
  <si>
    <t>2</t>
  </si>
  <si>
    <t>S6x12.5</t>
  </si>
  <si>
    <t>S5x14.75</t>
  </si>
  <si>
    <t>S5x10</t>
  </si>
  <si>
    <t>S4x9.5</t>
  </si>
  <si>
    <t>2-1/2</t>
  </si>
  <si>
    <t>S4x7.7</t>
  </si>
  <si>
    <t>S3x7.5</t>
  </si>
  <si>
    <t>1-3/4</t>
  </si>
  <si>
    <t>S3x5.7</t>
  </si>
  <si>
    <t>W44x335</t>
  </si>
  <si>
    <t>38-3/4</t>
  </si>
  <si>
    <t>W44x290</t>
  </si>
  <si>
    <t>W44x285</t>
  </si>
  <si>
    <t>38-5/8</t>
  </si>
  <si>
    <t>W44x262</t>
  </si>
  <si>
    <t>W44x248</t>
  </si>
  <si>
    <t>W44x230</t>
  </si>
  <si>
    <t>W44X224</t>
  </si>
  <si>
    <t>W44x198</t>
  </si>
  <si>
    <t>W40x655</t>
  </si>
  <si>
    <t>33-3/4</t>
  </si>
  <si>
    <t>W40x593</t>
  </si>
  <si>
    <t>34</t>
  </si>
  <si>
    <t>W40x531</t>
  </si>
  <si>
    <t>W40x503</t>
  </si>
  <si>
    <t>W40x480</t>
  </si>
  <si>
    <t>W40x466</t>
  </si>
  <si>
    <t>34-3/16</t>
  </si>
  <si>
    <t>W40x436</t>
  </si>
  <si>
    <t>W40x431</t>
  </si>
  <si>
    <t>W40x397</t>
  </si>
  <si>
    <t>W40x392</t>
  </si>
  <si>
    <t>W40x372</t>
  </si>
  <si>
    <t>W40x362</t>
  </si>
  <si>
    <t>W40x331</t>
  </si>
  <si>
    <t>W40x328</t>
  </si>
  <si>
    <t>W40x327</t>
  </si>
  <si>
    <t>W40x324</t>
  </si>
  <si>
    <t>W40x321</t>
  </si>
  <si>
    <t>W40x298</t>
  </si>
  <si>
    <t>W40x297</t>
  </si>
  <si>
    <t>W40x278</t>
  </si>
  <si>
    <t>W40x277</t>
  </si>
  <si>
    <t>W40x268</t>
  </si>
  <si>
    <t>W40x264</t>
  </si>
  <si>
    <t>W40x249</t>
  </si>
  <si>
    <t>W40x244</t>
  </si>
  <si>
    <t>W40x235</t>
  </si>
  <si>
    <t>W40x221</t>
  </si>
  <si>
    <t>W40x215</t>
  </si>
  <si>
    <t>W40x211</t>
  </si>
  <si>
    <t>W40x199</t>
  </si>
  <si>
    <t>W40x192</t>
  </si>
  <si>
    <t>W40x183</t>
  </si>
  <si>
    <t>W40x174</t>
  </si>
  <si>
    <t>W40x167</t>
  </si>
  <si>
    <t>W40x149</t>
  </si>
  <si>
    <t>W36x848</t>
  </si>
  <si>
    <t>31-1/8</t>
  </si>
  <si>
    <t>W36x798</t>
  </si>
  <si>
    <t>30-7/8</t>
  </si>
  <si>
    <t>W36x720</t>
  </si>
  <si>
    <t>W36x650</t>
  </si>
  <si>
    <t>W36x588</t>
  </si>
  <si>
    <t>W36x527</t>
  </si>
  <si>
    <t>W36x485</t>
  </si>
  <si>
    <t>W36x439</t>
  </si>
  <si>
    <t>W36x393</t>
  </si>
  <si>
    <t>W36x359</t>
  </si>
  <si>
    <t>W36x328</t>
  </si>
  <si>
    <t>W36x300</t>
  </si>
  <si>
    <t>W36x280</t>
  </si>
  <si>
    <t>W36x260</t>
  </si>
  <si>
    <t>W36x256</t>
  </si>
  <si>
    <t>32-1/8</t>
  </si>
  <si>
    <t>W36x245</t>
  </si>
  <si>
    <t>W36x232</t>
  </si>
  <si>
    <t>W36x230</t>
  </si>
  <si>
    <t>W36x210</t>
  </si>
  <si>
    <t>W36x194</t>
  </si>
  <si>
    <t>W36x182</t>
  </si>
  <si>
    <t>W36x170</t>
  </si>
  <si>
    <t>W36x160</t>
  </si>
  <si>
    <t>W36x150</t>
  </si>
  <si>
    <t>W36x135</t>
  </si>
  <si>
    <t>W33x619</t>
  </si>
  <si>
    <t>29-3/4</t>
  </si>
  <si>
    <t>W33x567</t>
  </si>
  <si>
    <t>W33x515</t>
  </si>
  <si>
    <t>W33x468</t>
  </si>
  <si>
    <t>W33x424</t>
  </si>
  <si>
    <t>W33x387</t>
  </si>
  <si>
    <t>W33x354</t>
  </si>
  <si>
    <t>29-5/8</t>
  </si>
  <si>
    <t>W33x318</t>
  </si>
  <si>
    <t>W33x291</t>
  </si>
  <si>
    <t>W33x263</t>
  </si>
  <si>
    <t>W33x241</t>
  </si>
  <si>
    <t>W33x221</t>
  </si>
  <si>
    <t>W33x201</t>
  </si>
  <si>
    <t>W33x169</t>
  </si>
  <si>
    <t>W33x152</t>
  </si>
  <si>
    <t>W33x141</t>
  </si>
  <si>
    <t>W33x130</t>
  </si>
  <si>
    <t>W33x118</t>
  </si>
  <si>
    <t>W30x581</t>
  </si>
  <si>
    <t>26-3/4</t>
  </si>
  <si>
    <t>W30x526</t>
  </si>
  <si>
    <t>W30x477</t>
  </si>
  <si>
    <t>W30x433</t>
  </si>
  <si>
    <t>W30x391</t>
  </si>
  <si>
    <t>26-1/2</t>
  </si>
  <si>
    <t>W30x357</t>
  </si>
  <si>
    <t>W30x326</t>
  </si>
  <si>
    <t>W30x292</t>
  </si>
  <si>
    <t>W30x261</t>
  </si>
  <si>
    <t>W30x235</t>
  </si>
  <si>
    <t>W30x211</t>
  </si>
  <si>
    <t>W30x191</t>
  </si>
  <si>
    <t>W30x173</t>
  </si>
  <si>
    <t>W30x148</t>
  </si>
  <si>
    <t>W30x132</t>
  </si>
  <si>
    <t>W30x124</t>
  </si>
  <si>
    <t>W30x116</t>
  </si>
  <si>
    <t>W30x108</t>
  </si>
  <si>
    <t>W30x99</t>
  </si>
  <si>
    <t>W30x90</t>
  </si>
  <si>
    <t>W27x539</t>
  </si>
  <si>
    <t>23-5/8</t>
  </si>
  <si>
    <t>W27x494</t>
  </si>
  <si>
    <t>24</t>
  </si>
  <si>
    <t>W27x448</t>
  </si>
  <si>
    <t>W27x407</t>
  </si>
  <si>
    <t>W27x368</t>
  </si>
  <si>
    <t>W27x336</t>
  </si>
  <si>
    <t>W27x307</t>
  </si>
  <si>
    <t>W27x281</t>
  </si>
  <si>
    <t>W27x258</t>
  </si>
  <si>
    <t>W27x235</t>
  </si>
  <si>
    <t>1 3125</t>
  </si>
  <si>
    <t>W27x217</t>
  </si>
  <si>
    <t>W27x194</t>
  </si>
  <si>
    <t>W27x178</t>
  </si>
  <si>
    <t>W27x161</t>
  </si>
  <si>
    <t>W27x146</t>
  </si>
  <si>
    <t>W27x129</t>
  </si>
  <si>
    <t>W27x114</t>
  </si>
  <si>
    <t>W27x102</t>
  </si>
  <si>
    <t>W27x94</t>
  </si>
  <si>
    <t>W27x84</t>
  </si>
  <si>
    <t>W24x492</t>
  </si>
  <si>
    <t>21</t>
  </si>
  <si>
    <t>W24x450</t>
  </si>
  <si>
    <t>W24x408</t>
  </si>
  <si>
    <t>W24x370</t>
  </si>
  <si>
    <t>20-3/4</t>
  </si>
  <si>
    <t>W24x335</t>
  </si>
  <si>
    <t>W24x306</t>
  </si>
  <si>
    <t>W24x279</t>
  </si>
  <si>
    <t>W24x250</t>
  </si>
  <si>
    <t>W24x229</t>
  </si>
  <si>
    <t>W24x207</t>
  </si>
  <si>
    <t>W24x192</t>
  </si>
  <si>
    <t>W24x176</t>
  </si>
  <si>
    <t>W24x162</t>
  </si>
  <si>
    <t>W24x146</t>
  </si>
  <si>
    <t>W24x131</t>
  </si>
  <si>
    <t>W24x117</t>
  </si>
  <si>
    <t>W24x104</t>
  </si>
  <si>
    <t>W24x103</t>
  </si>
  <si>
    <t>W24x94</t>
  </si>
  <si>
    <t>W24x84</t>
  </si>
  <si>
    <t>W24x76</t>
  </si>
  <si>
    <t>W24x68</t>
  </si>
  <si>
    <t>W24x62</t>
  </si>
  <si>
    <t>W24x55</t>
  </si>
  <si>
    <t>W21x402</t>
  </si>
  <si>
    <t>18-1/4</t>
  </si>
  <si>
    <t>W21x364</t>
  </si>
  <si>
    <t>W21x333</t>
  </si>
  <si>
    <t>W21x300</t>
  </si>
  <si>
    <t>W21x275</t>
  </si>
  <si>
    <t>W21x248</t>
  </si>
  <si>
    <t>W21x223</t>
  </si>
  <si>
    <t>W21x201</t>
  </si>
  <si>
    <t>18</t>
  </si>
  <si>
    <t>W21x182</t>
  </si>
  <si>
    <t>W21x166</t>
  </si>
  <si>
    <t>W21x147</t>
  </si>
  <si>
    <t>W21x132</t>
  </si>
  <si>
    <t>W21x122</t>
  </si>
  <si>
    <t>W21x111</t>
  </si>
  <si>
    <t>W21x101</t>
  </si>
  <si>
    <t>W21x93</t>
  </si>
  <si>
    <t>18-3/8</t>
  </si>
  <si>
    <t>W21x83</t>
  </si>
  <si>
    <t>W21x73</t>
  </si>
  <si>
    <t>W21x68</t>
  </si>
  <si>
    <t>W21x62</t>
  </si>
  <si>
    <t>W21x57</t>
  </si>
  <si>
    <t>W21x55</t>
  </si>
  <si>
    <t>W21x50</t>
  </si>
  <si>
    <t>W21x48</t>
  </si>
  <si>
    <t>W21x44</t>
  </si>
  <si>
    <t>W18x311</t>
  </si>
  <si>
    <t>15-1/2</t>
  </si>
  <si>
    <t>W18x283</t>
  </si>
  <si>
    <t>W18x258</t>
  </si>
  <si>
    <t>W18x234</t>
  </si>
  <si>
    <t>W18x211</t>
  </si>
  <si>
    <t>W18x192</t>
  </si>
  <si>
    <t>W18x175</t>
  </si>
  <si>
    <t>15-1/8</t>
  </si>
  <si>
    <t>W18x158</t>
  </si>
  <si>
    <t>W18x143</t>
  </si>
  <si>
    <t>W18x130</t>
  </si>
  <si>
    <t>W18x119</t>
  </si>
  <si>
    <t>W18x106</t>
  </si>
  <si>
    <t>W18x97</t>
  </si>
  <si>
    <t>W18x86</t>
  </si>
  <si>
    <t>W18x76</t>
  </si>
  <si>
    <t>W18x71</t>
  </si>
  <si>
    <t>W18x65</t>
  </si>
  <si>
    <t>W18x60</t>
  </si>
  <si>
    <t>W18x55</t>
  </si>
  <si>
    <t>W18x50</t>
  </si>
  <si>
    <t>W18x46</t>
  </si>
  <si>
    <t>W18x40</t>
  </si>
  <si>
    <t>W18x35</t>
  </si>
  <si>
    <t>W16x100</t>
  </si>
  <si>
    <t>13-1/4</t>
  </si>
  <si>
    <t>W16x89</t>
  </si>
  <si>
    <t>W16x77</t>
  </si>
  <si>
    <t>W16x67</t>
  </si>
  <si>
    <t>W16x57</t>
  </si>
  <si>
    <t>13-5/8</t>
  </si>
  <si>
    <t>W16x50</t>
  </si>
  <si>
    <t>W16x45</t>
  </si>
  <si>
    <t>W16x40</t>
  </si>
  <si>
    <t>W16x36</t>
  </si>
  <si>
    <t>W16x31</t>
  </si>
  <si>
    <t>W16x26</t>
  </si>
  <si>
    <t>W14x808</t>
  </si>
  <si>
    <t>10</t>
  </si>
  <si>
    <t>(3) 7-1/2 (3)</t>
  </si>
  <si>
    <t>W14x730</t>
  </si>
  <si>
    <t>W14x665</t>
  </si>
  <si>
    <t>W14x605</t>
  </si>
  <si>
    <t>W14x550</t>
  </si>
  <si>
    <t>W14x500</t>
  </si>
  <si>
    <t>W14x455</t>
  </si>
  <si>
    <t>W14x426</t>
  </si>
  <si>
    <t>(3) 5-1/2 (3)</t>
  </si>
  <si>
    <t>W14x398</t>
  </si>
  <si>
    <t>W14x370</t>
  </si>
  <si>
    <t>W14x342</t>
  </si>
  <si>
    <t>W14x311</t>
  </si>
  <si>
    <t>W14x283</t>
  </si>
  <si>
    <t>W14x257</t>
  </si>
  <si>
    <t>W14x233</t>
  </si>
  <si>
    <t>W14x211</t>
  </si>
  <si>
    <t>W14x193</t>
  </si>
  <si>
    <t>W14x176</t>
  </si>
  <si>
    <t>W14x159</t>
  </si>
  <si>
    <t>W14x145</t>
  </si>
  <si>
    <t>W14x132</t>
  </si>
  <si>
    <t>W14x120</t>
  </si>
  <si>
    <t>W14x109</t>
  </si>
  <si>
    <t>W14x99</t>
  </si>
  <si>
    <t>W14x90</t>
  </si>
  <si>
    <t>W14x82</t>
  </si>
  <si>
    <t>W14x74</t>
  </si>
  <si>
    <t>W14x68</t>
  </si>
  <si>
    <t>W14x61</t>
  </si>
  <si>
    <t>W14x53</t>
  </si>
  <si>
    <t>W14x48</t>
  </si>
  <si>
    <t>W14x43</t>
  </si>
  <si>
    <t>W14x38</t>
  </si>
  <si>
    <t>11-5/8</t>
  </si>
  <si>
    <t>W14x34</t>
  </si>
  <si>
    <t>W14x30</t>
  </si>
  <si>
    <t>W14x26</t>
  </si>
  <si>
    <t>W14x22</t>
  </si>
  <si>
    <t>W12x336</t>
  </si>
  <si>
    <t>(2) 5-1/2 (2)</t>
  </si>
  <si>
    <t>W12x305</t>
  </si>
  <si>
    <t>W12x279</t>
  </si>
  <si>
    <t>W12x252</t>
  </si>
  <si>
    <t>W12x230</t>
  </si>
  <si>
    <t>W12x210</t>
  </si>
  <si>
    <t>W12x190</t>
  </si>
  <si>
    <t>W12x170</t>
  </si>
  <si>
    <t>W12x152</t>
  </si>
  <si>
    <t>W12x136</t>
  </si>
  <si>
    <t>W12x120</t>
  </si>
  <si>
    <t>W12x106</t>
  </si>
  <si>
    <t>W12x96</t>
  </si>
  <si>
    <t>W12x87</t>
  </si>
  <si>
    <t>W12x79</t>
  </si>
  <si>
    <t>W12x72</t>
  </si>
  <si>
    <t>W12x65</t>
  </si>
  <si>
    <t>W12x58</t>
  </si>
  <si>
    <t>9-1/4</t>
  </si>
  <si>
    <t>W12x53</t>
  </si>
  <si>
    <t>W12x50</t>
  </si>
  <si>
    <t>W12x45</t>
  </si>
  <si>
    <t>W12x40</t>
  </si>
  <si>
    <t>W12x35</t>
  </si>
  <si>
    <t>10-1/8</t>
  </si>
  <si>
    <t>W12x30</t>
  </si>
  <si>
    <t>W12x26</t>
  </si>
  <si>
    <t>10-3/8</t>
  </si>
  <si>
    <t>W12x19</t>
  </si>
  <si>
    <t>W12x16</t>
  </si>
  <si>
    <t>W12x14</t>
  </si>
  <si>
    <t>W10x112</t>
  </si>
  <si>
    <t>W10x100</t>
  </si>
  <si>
    <t>W10x88</t>
  </si>
  <si>
    <t>W10x77</t>
  </si>
  <si>
    <t>W10x68</t>
  </si>
  <si>
    <t>W10x60</t>
  </si>
  <si>
    <t>W10x54</t>
  </si>
  <si>
    <t>W10x49</t>
  </si>
  <si>
    <t>W10x45</t>
  </si>
  <si>
    <t>W10x39</t>
  </si>
  <si>
    <t>W10x33</t>
  </si>
  <si>
    <t>W10x30</t>
  </si>
  <si>
    <t>8-1/4</t>
  </si>
  <si>
    <t>W10x26</t>
  </si>
  <si>
    <t>W10x22</t>
  </si>
  <si>
    <t>W10x19</t>
  </si>
  <si>
    <t>8-3/8</t>
  </si>
  <si>
    <t>W10x17</t>
  </si>
  <si>
    <t>W10x15</t>
  </si>
  <si>
    <t>W10x12</t>
  </si>
  <si>
    <t>W8x67</t>
  </si>
  <si>
    <t>W8x58</t>
  </si>
  <si>
    <t>W8x48</t>
  </si>
  <si>
    <t>W8x40</t>
  </si>
  <si>
    <t>W8x35</t>
  </si>
  <si>
    <t>W8x31</t>
  </si>
  <si>
    <t>W8x28</t>
  </si>
  <si>
    <t>6-1/8</t>
  </si>
  <si>
    <t>W8x24</t>
  </si>
  <si>
    <t>W8x21</t>
  </si>
  <si>
    <t>6-1/2</t>
  </si>
  <si>
    <t>W8x18</t>
  </si>
  <si>
    <t>W8x15</t>
  </si>
  <si>
    <t>W8x13</t>
  </si>
  <si>
    <t>W8x10</t>
  </si>
  <si>
    <t>W6x25</t>
  </si>
  <si>
    <t>4-1/2</t>
  </si>
  <si>
    <t>W6x20</t>
  </si>
  <si>
    <t>W6x16</t>
  </si>
  <si>
    <t>W6x15</t>
  </si>
  <si>
    <t>W6x12</t>
  </si>
  <si>
    <t>W6x9</t>
  </si>
  <si>
    <t>W6x8.5</t>
  </si>
  <si>
    <t>W5x19</t>
  </si>
  <si>
    <t>W5x16</t>
  </si>
  <si>
    <t>W4x13</t>
  </si>
  <si>
    <t>2-5/8</t>
  </si>
  <si>
    <t>For Restrained against rotation</t>
  </si>
  <si>
    <t>For Unrestrained against rotation</t>
  </si>
  <si>
    <t>to count only empty cells</t>
  </si>
  <si>
    <t>2+3</t>
  </si>
  <si>
    <t>Good Morning. How are you?</t>
  </si>
  <si>
    <t>Good Morning. 
How are you?</t>
  </si>
  <si>
    <r>
      <t>1. </t>
    </r>
    <r>
      <rPr>
        <b/>
        <sz val="14"/>
        <color rgb="FF333333"/>
        <rFont val="Verdana"/>
        <family val="2"/>
      </rPr>
      <t>To format any selected object</t>
    </r>
    <r>
      <rPr>
        <sz val="14"/>
        <color rgb="FF333333"/>
        <rFont val="Verdana"/>
        <family val="2"/>
      </rPr>
      <t>, press ctrl+1</t>
    </r>
  </si>
  <si>
    <r>
      <t>2. </t>
    </r>
    <r>
      <rPr>
        <b/>
        <sz val="14"/>
        <color rgb="FF333333"/>
        <rFont val="Verdana"/>
        <family val="2"/>
      </rPr>
      <t>To insert current date</t>
    </r>
    <r>
      <rPr>
        <sz val="14"/>
        <color rgb="FF333333"/>
        <rFont val="Verdana"/>
        <family val="2"/>
      </rPr>
      <t>, press ctrl+;</t>
    </r>
  </si>
  <si>
    <r>
      <t>3. </t>
    </r>
    <r>
      <rPr>
        <b/>
        <sz val="14"/>
        <color rgb="FF333333"/>
        <rFont val="Verdana"/>
        <family val="2"/>
      </rPr>
      <t>To insert current time</t>
    </r>
    <r>
      <rPr>
        <sz val="14"/>
        <color rgb="FF333333"/>
        <rFont val="Verdana"/>
        <family val="2"/>
      </rPr>
      <t>, press ctrl+shift+;</t>
    </r>
  </si>
  <si>
    <t>no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</si>
</sst>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3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FF00"/>
      <name val="Arial"/>
      <family val="2"/>
    </font>
    <font>
      <sz val="10"/>
      <color indexed="8"/>
      <name val="Arial"/>
      <family val="2"/>
    </font>
    <font>
      <sz val="10"/>
      <color rgb="FFFFFF00"/>
      <name val="Arial"/>
      <family val="2"/>
    </font>
    <font>
      <sz val="11"/>
      <color rgb="FFFFFF00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i/>
      <sz val="11"/>
      <color theme="3"/>
      <name val="Calibri"/>
      <family val="2"/>
      <scheme val="minor"/>
    </font>
    <font>
      <sz val="10"/>
      <color indexed="10"/>
      <name val="Arial"/>
      <family val="2"/>
    </font>
    <font>
      <sz val="10"/>
      <color rgb="FF66FF33"/>
      <name val="Arial"/>
      <family val="2"/>
    </font>
    <font>
      <sz val="11"/>
      <color rgb="FF66FF33"/>
      <name val="Calibri"/>
      <family val="2"/>
      <scheme val="minor"/>
    </font>
    <font>
      <sz val="10"/>
      <color indexed="11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u/>
      <sz val="12"/>
      <color indexed="81"/>
      <name val="Arial"/>
      <family val="2"/>
    </font>
    <font>
      <sz val="12"/>
      <color indexed="81"/>
      <name val="Arial"/>
      <family val="2"/>
    </font>
    <font>
      <i/>
      <sz val="12"/>
      <color indexed="81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333333"/>
      <name val="Verdana"/>
      <family val="2"/>
    </font>
    <font>
      <b/>
      <sz val="14"/>
      <color rgb="FF333333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 applyAlignment="1">
      <alignment wrapText="1"/>
    </xf>
    <xf numFmtId="0" fontId="0" fillId="2" borderId="0" xfId="0" applyFill="1"/>
    <xf numFmtId="0" fontId="0" fillId="3" borderId="0" xfId="0" applyFill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2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4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6" fillId="4" borderId="14" xfId="0" applyNumberFormat="1" applyFont="1" applyFill="1" applyBorder="1" applyAlignment="1">
      <alignment horizontal="center"/>
    </xf>
    <xf numFmtId="0" fontId="7" fillId="4" borderId="14" xfId="0" applyNumberFormat="1" applyFont="1" applyFill="1" applyBorder="1" applyAlignment="1">
      <alignment horizontal="center"/>
    </xf>
    <xf numFmtId="0" fontId="5" fillId="4" borderId="15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3" fillId="5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14" xfId="0" quotePrefix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164" fontId="0" fillId="6" borderId="20" xfId="0" applyNumberFormat="1" applyFont="1" applyFill="1" applyBorder="1" applyAlignment="1">
      <alignment horizontal="center"/>
    </xf>
    <xf numFmtId="0" fontId="0" fillId="6" borderId="20" xfId="0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6" borderId="22" xfId="0" applyFill="1" applyBorder="1" applyAlignment="1">
      <alignment horizontal="center"/>
    </xf>
    <xf numFmtId="164" fontId="0" fillId="6" borderId="14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12" fillId="2" borderId="14" xfId="0" applyNumberFormat="1" applyFont="1" applyFill="1" applyBorder="1" applyAlignment="1">
      <alignment horizontal="center"/>
    </xf>
    <xf numFmtId="164" fontId="12" fillId="2" borderId="14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0" fontId="12" fillId="0" borderId="14" xfId="0" quotePrefix="1" applyNumberFormat="1" applyFont="1" applyFill="1" applyBorder="1" applyAlignment="1">
      <alignment horizontal="center"/>
    </xf>
    <xf numFmtId="0" fontId="12" fillId="0" borderId="14" xfId="0" quotePrefix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6" borderId="26" xfId="0" applyFill="1" applyBorder="1" applyAlignment="1">
      <alignment horizontal="center"/>
    </xf>
    <xf numFmtId="164" fontId="0" fillId="6" borderId="27" xfId="0" applyNumberFormat="1" applyFont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2" fontId="0" fillId="6" borderId="28" xfId="0" applyNumberFormat="1" applyFill="1" applyBorder="1" applyAlignment="1">
      <alignment horizontal="center"/>
    </xf>
    <xf numFmtId="0" fontId="0" fillId="6" borderId="19" xfId="0" applyFill="1" applyBorder="1" applyAlignment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>
      <alignment horizontal="center" vertical="center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>
      <alignment horizontal="center" vertical="center"/>
    </xf>
    <xf numFmtId="0" fontId="3" fillId="5" borderId="28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0" fillId="6" borderId="29" xfId="0" applyFill="1" applyBorder="1" applyAlignment="1">
      <alignment horizontal="center" vertical="center"/>
    </xf>
    <xf numFmtId="0" fontId="8" fillId="0" borderId="14" xfId="0" quotePrefix="1" applyNumberFormat="1" applyFont="1" applyFill="1" applyBorder="1" applyAlignment="1">
      <alignment horizontal="center"/>
    </xf>
    <xf numFmtId="0" fontId="0" fillId="0" borderId="14" xfId="0" quotePrefix="1" applyNumberForma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>
      <alignment horizontal="center"/>
    </xf>
    <xf numFmtId="0" fontId="3" fillId="5" borderId="33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14" xfId="0" quotePrefix="1" applyNumberFormat="1" applyFont="1" applyFill="1" applyBorder="1" applyAlignment="1">
      <alignment horizontal="center"/>
    </xf>
    <xf numFmtId="0" fontId="17" fillId="0" borderId="14" xfId="0" quotePrefix="1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17" fillId="0" borderId="14" xfId="0" quotePrefix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6" borderId="34" xfId="0" applyFill="1" applyBorder="1" applyAlignment="1">
      <alignment horizontal="center"/>
    </xf>
    <xf numFmtId="2" fontId="0" fillId="6" borderId="35" xfId="0" applyNumberFormat="1" applyFill="1" applyBorder="1" applyAlignment="1">
      <alignment horizont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2" fontId="0" fillId="6" borderId="33" xfId="0" applyNumberFormat="1" applyFill="1" applyBorder="1" applyAlignment="1">
      <alignment horizontal="center" vertical="center"/>
    </xf>
    <xf numFmtId="0" fontId="16" fillId="0" borderId="14" xfId="0" quotePrefix="1" applyFon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2" fontId="0" fillId="6" borderId="36" xfId="0" applyNumberFormat="1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2" fontId="0" fillId="6" borderId="38" xfId="0" applyNumberForma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64" fontId="0" fillId="6" borderId="4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3" fillId="6" borderId="32" xfId="0" applyFont="1" applyFill="1" applyBorder="1" applyAlignment="1">
      <alignment horizontal="center"/>
    </xf>
    <xf numFmtId="2" fontId="0" fillId="6" borderId="41" xfId="0" applyNumberFormat="1" applyFill="1" applyBorder="1" applyAlignment="1">
      <alignment horizontal="center"/>
    </xf>
    <xf numFmtId="164" fontId="0" fillId="6" borderId="27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2" borderId="14" xfId="0" applyNumberFormat="1" applyFont="1" applyFill="1" applyBorder="1" applyAlignment="1">
      <alignment horizontal="center"/>
    </xf>
    <xf numFmtId="0" fontId="15" fillId="0" borderId="14" xfId="0" quotePrefix="1" applyNumberFormat="1" applyFont="1" applyFill="1" applyBorder="1" applyAlignment="1">
      <alignment horizontal="center"/>
    </xf>
    <xf numFmtId="0" fontId="15" fillId="0" borderId="14" xfId="0" quotePrefix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2" borderId="14" xfId="0" applyNumberForma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quotePrefix="1" applyFont="1" applyFill="1" applyBorder="1" applyAlignment="1">
      <alignment horizontal="center" vertical="center" wrapText="1"/>
    </xf>
    <xf numFmtId="0" fontId="8" fillId="0" borderId="14" xfId="0" quotePrefix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 vertical="center" wrapText="1"/>
    </xf>
    <xf numFmtId="164" fontId="15" fillId="2" borderId="14" xfId="0" applyNumberFormat="1" applyFont="1" applyFill="1" applyBorder="1" applyAlignment="1">
      <alignment horizontal="center"/>
    </xf>
    <xf numFmtId="1" fontId="8" fillId="0" borderId="14" xfId="0" quotePrefix="1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2" borderId="14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18" fillId="0" borderId="14" xfId="0" quotePrefix="1" applyFont="1" applyBorder="1" applyAlignment="1">
      <alignment horizontal="center"/>
    </xf>
    <xf numFmtId="0" fontId="18" fillId="0" borderId="14" xfId="0" quotePrefix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 wrapText="1"/>
    </xf>
    <xf numFmtId="1" fontId="15" fillId="0" borderId="14" xfId="0" quotePrefix="1" applyNumberFormat="1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8" fillId="0" borderId="14" xfId="0" quotePrefix="1" applyNumberFormat="1" applyFont="1" applyFill="1" applyBorder="1" applyAlignment="1">
      <alignment horizontal="center" vertical="center" wrapText="1"/>
    </xf>
    <xf numFmtId="12" fontId="8" fillId="0" borderId="14" xfId="0" quotePrefix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14" xfId="0" quotePrefix="1" applyNumberFormat="1" applyFont="1" applyFill="1" applyBorder="1" applyAlignment="1">
      <alignment horizontal="center"/>
    </xf>
    <xf numFmtId="0" fontId="9" fillId="0" borderId="14" xfId="0" quotePrefix="1" applyFont="1" applyFill="1" applyBorder="1" applyAlignment="1">
      <alignment horizontal="center" vertical="center" wrapText="1"/>
    </xf>
    <xf numFmtId="0" fontId="10" fillId="0" borderId="14" xfId="0" quotePrefix="1" applyFont="1" applyFill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5" fillId="2" borderId="14" xfId="0" applyNumberFormat="1" applyFont="1" applyFill="1" applyBorder="1" applyAlignment="1">
      <alignment horizontal="center"/>
    </xf>
    <xf numFmtId="0" fontId="8" fillId="0" borderId="14" xfId="0" quotePrefix="1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0" fontId="18" fillId="0" borderId="14" xfId="0" quotePrefix="1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2" borderId="14" xfId="0" applyNumberFormat="1" applyFont="1" applyFill="1" applyBorder="1" applyAlignment="1">
      <alignment horizontal="center" vertical="center" wrapText="1"/>
    </xf>
    <xf numFmtId="0" fontId="10" fillId="2" borderId="14" xfId="0" quotePrefix="1" applyNumberFormat="1" applyFont="1" applyFill="1" applyBorder="1" applyAlignment="1">
      <alignment horizontal="center"/>
    </xf>
    <xf numFmtId="0" fontId="9" fillId="2" borderId="14" xfId="0" quotePrefix="1" applyFont="1" applyFill="1" applyBorder="1" applyAlignment="1">
      <alignment horizontal="center" vertical="center" wrapText="1"/>
    </xf>
    <xf numFmtId="0" fontId="10" fillId="2" borderId="14" xfId="0" quotePrefix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 vertical="center" wrapText="1"/>
    </xf>
    <xf numFmtId="1" fontId="18" fillId="0" borderId="14" xfId="0" quotePrefix="1" applyNumberFormat="1" applyFont="1" applyFill="1" applyBorder="1" applyAlignment="1">
      <alignment horizontal="center" vertical="center"/>
    </xf>
    <xf numFmtId="14" fontId="18" fillId="0" borderId="14" xfId="0" quotePrefix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18" fontId="0" fillId="0" borderId="0" xfId="0" applyNumberFormat="1"/>
    <xf numFmtId="0" fontId="28" fillId="0" borderId="0" xfId="0" applyFont="1"/>
    <xf numFmtId="0" fontId="14" fillId="7" borderId="16" xfId="0" applyFont="1" applyFill="1" applyBorder="1" applyAlignment="1">
      <alignment horizontal="center"/>
    </xf>
    <xf numFmtId="0" fontId="14" fillId="7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4" fillId="7" borderId="16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39" xfId="0" applyFont="1" applyFill="1" applyBorder="1" applyAlignment="1">
      <alignment horizontal="center"/>
    </xf>
    <xf numFmtId="0" fontId="14" fillId="7" borderId="40" xfId="0" applyFont="1" applyFill="1" applyBorder="1" applyAlignment="1">
      <alignment horizontal="center"/>
    </xf>
    <xf numFmtId="0" fontId="14" fillId="7" borderId="42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GPA vs. Aptitude</a:t>
            </a:r>
            <a:r>
              <a:rPr lang="en-US" baseline="0"/>
              <a:t> Score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[1]Sheet1!$E$3</c:f>
              <c:strCache>
                <c:ptCount val="1"/>
                <c:pt idx="0">
                  <c:v>GPA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[1]Sheet1!$D$4:$D$51</c:f>
              <c:numCache>
                <c:formatCode>General</c:formatCode>
                <c:ptCount val="48"/>
                <c:pt idx="0">
                  <c:v>59</c:v>
                </c:pt>
                <c:pt idx="1">
                  <c:v>37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54</c:v>
                </c:pt>
                <c:pt idx="6">
                  <c:v>34</c:v>
                </c:pt>
                <c:pt idx="7">
                  <c:v>57</c:v>
                </c:pt>
                <c:pt idx="8">
                  <c:v>52</c:v>
                </c:pt>
                <c:pt idx="9">
                  <c:v>31</c:v>
                </c:pt>
                <c:pt idx="10">
                  <c:v>36</c:v>
                </c:pt>
                <c:pt idx="11">
                  <c:v>43</c:v>
                </c:pt>
                <c:pt idx="12">
                  <c:v>49</c:v>
                </c:pt>
                <c:pt idx="13">
                  <c:v>50</c:v>
                </c:pt>
                <c:pt idx="14">
                  <c:v>34</c:v>
                </c:pt>
                <c:pt idx="15">
                  <c:v>25</c:v>
                </c:pt>
                <c:pt idx="16">
                  <c:v>46</c:v>
                </c:pt>
                <c:pt idx="17">
                  <c:v>38</c:v>
                </c:pt>
                <c:pt idx="18">
                  <c:v>34</c:v>
                </c:pt>
                <c:pt idx="19">
                  <c:v>43</c:v>
                </c:pt>
                <c:pt idx="20">
                  <c:v>41</c:v>
                </c:pt>
                <c:pt idx="21">
                  <c:v>43</c:v>
                </c:pt>
                <c:pt idx="22">
                  <c:v>32</c:v>
                </c:pt>
                <c:pt idx="23">
                  <c:v>30</c:v>
                </c:pt>
                <c:pt idx="24">
                  <c:v>39</c:v>
                </c:pt>
                <c:pt idx="25">
                  <c:v>47</c:v>
                </c:pt>
                <c:pt idx="26">
                  <c:v>22</c:v>
                </c:pt>
                <c:pt idx="27">
                  <c:v>50</c:v>
                </c:pt>
                <c:pt idx="28">
                  <c:v>41</c:v>
                </c:pt>
                <c:pt idx="29">
                  <c:v>39</c:v>
                </c:pt>
                <c:pt idx="30">
                  <c:v>30</c:v>
                </c:pt>
                <c:pt idx="31">
                  <c:v>44</c:v>
                </c:pt>
                <c:pt idx="32">
                  <c:v>55</c:v>
                </c:pt>
                <c:pt idx="33">
                  <c:v>49</c:v>
                </c:pt>
                <c:pt idx="34">
                  <c:v>39</c:v>
                </c:pt>
                <c:pt idx="35">
                  <c:v>54</c:v>
                </c:pt>
                <c:pt idx="36">
                  <c:v>41</c:v>
                </c:pt>
                <c:pt idx="37">
                  <c:v>45</c:v>
                </c:pt>
                <c:pt idx="38">
                  <c:v>22</c:v>
                </c:pt>
                <c:pt idx="39">
                  <c:v>29</c:v>
                </c:pt>
                <c:pt idx="40">
                  <c:v>35</c:v>
                </c:pt>
                <c:pt idx="41">
                  <c:v>33</c:v>
                </c:pt>
                <c:pt idx="42">
                  <c:v>33</c:v>
                </c:pt>
                <c:pt idx="43">
                  <c:v>49</c:v>
                </c:pt>
                <c:pt idx="44">
                  <c:v>42</c:v>
                </c:pt>
                <c:pt idx="45">
                  <c:v>35</c:v>
                </c:pt>
                <c:pt idx="46">
                  <c:v>51</c:v>
                </c:pt>
                <c:pt idx="47">
                  <c:v>32</c:v>
                </c:pt>
              </c:numCache>
            </c:numRef>
          </c:xVal>
          <c:yVal>
            <c:numRef>
              <c:f>[1]Sheet1!$E$4:$E$51</c:f>
              <c:numCache>
                <c:formatCode>General</c:formatCode>
                <c:ptCount val="48"/>
                <c:pt idx="0">
                  <c:v>3.7810000000000001</c:v>
                </c:pt>
                <c:pt idx="1">
                  <c:v>3.33</c:v>
                </c:pt>
                <c:pt idx="2">
                  <c:v>2.4740000000000002</c:v>
                </c:pt>
                <c:pt idx="3">
                  <c:v>3.1749999999999998</c:v>
                </c:pt>
                <c:pt idx="4">
                  <c:v>3.512</c:v>
                </c:pt>
                <c:pt idx="5">
                  <c:v>3.8410000000000002</c:v>
                </c:pt>
                <c:pt idx="6">
                  <c:v>2.915</c:v>
                </c:pt>
                <c:pt idx="7">
                  <c:v>3.7189999999999999</c:v>
                </c:pt>
                <c:pt idx="8">
                  <c:v>3.7210000000000001</c:v>
                </c:pt>
                <c:pt idx="9">
                  <c:v>2.6520000000000001</c:v>
                </c:pt>
                <c:pt idx="10">
                  <c:v>2.3279999999999998</c:v>
                </c:pt>
                <c:pt idx="11">
                  <c:v>2.742</c:v>
                </c:pt>
                <c:pt idx="12">
                  <c:v>2.5019999999999998</c:v>
                </c:pt>
                <c:pt idx="13">
                  <c:v>2.9540000000000002</c:v>
                </c:pt>
                <c:pt idx="14">
                  <c:v>2.2589999999999999</c:v>
                </c:pt>
                <c:pt idx="15">
                  <c:v>2.0619999999999998</c:v>
                </c:pt>
                <c:pt idx="16">
                  <c:v>2.9340000000000002</c:v>
                </c:pt>
                <c:pt idx="17">
                  <c:v>2.8820000000000001</c:v>
                </c:pt>
                <c:pt idx="18">
                  <c:v>2.698</c:v>
                </c:pt>
                <c:pt idx="19">
                  <c:v>3.8780000000000001</c:v>
                </c:pt>
                <c:pt idx="20">
                  <c:v>3.4220000000000002</c:v>
                </c:pt>
                <c:pt idx="21">
                  <c:v>3.0630000000000002</c:v>
                </c:pt>
                <c:pt idx="22">
                  <c:v>2.762</c:v>
                </c:pt>
                <c:pt idx="23">
                  <c:v>2.0990000000000002</c:v>
                </c:pt>
                <c:pt idx="24">
                  <c:v>2.8319999999999999</c:v>
                </c:pt>
                <c:pt idx="25">
                  <c:v>2.2890000000000001</c:v>
                </c:pt>
                <c:pt idx="26">
                  <c:v>2.33</c:v>
                </c:pt>
                <c:pt idx="27">
                  <c:v>3.2320000000000002</c:v>
                </c:pt>
                <c:pt idx="28">
                  <c:v>1.5</c:v>
                </c:pt>
                <c:pt idx="29">
                  <c:v>2.4710000000000001</c:v>
                </c:pt>
                <c:pt idx="30">
                  <c:v>2.7770000000000001</c:v>
                </c:pt>
                <c:pt idx="31">
                  <c:v>2.5289999999999999</c:v>
                </c:pt>
                <c:pt idx="32">
                  <c:v>2.8159999999999998</c:v>
                </c:pt>
                <c:pt idx="33">
                  <c:v>3.1629999999999998</c:v>
                </c:pt>
                <c:pt idx="34">
                  <c:v>1.9730000000000001</c:v>
                </c:pt>
                <c:pt idx="35">
                  <c:v>3.42</c:v>
                </c:pt>
                <c:pt idx="36">
                  <c:v>3.3220000000000001</c:v>
                </c:pt>
                <c:pt idx="37">
                  <c:v>3.4249999999999998</c:v>
                </c:pt>
                <c:pt idx="38">
                  <c:v>1.276</c:v>
                </c:pt>
                <c:pt idx="39">
                  <c:v>1.635</c:v>
                </c:pt>
                <c:pt idx="40">
                  <c:v>2.125</c:v>
                </c:pt>
                <c:pt idx="41">
                  <c:v>1.9670000000000001</c:v>
                </c:pt>
                <c:pt idx="42">
                  <c:v>2.548</c:v>
                </c:pt>
                <c:pt idx="43">
                  <c:v>2.157</c:v>
                </c:pt>
                <c:pt idx="44">
                  <c:v>2.7149999999999999</c:v>
                </c:pt>
                <c:pt idx="45">
                  <c:v>2.1040000000000001</c:v>
                </c:pt>
                <c:pt idx="46">
                  <c:v>1.786</c:v>
                </c:pt>
                <c:pt idx="47">
                  <c:v>2.8319999999999999</c:v>
                </c:pt>
              </c:numCache>
            </c:numRef>
          </c:yVal>
        </c:ser>
        <c:axId val="161301248"/>
        <c:axId val="161302784"/>
      </c:scatterChart>
      <c:valAx>
        <c:axId val="161301248"/>
        <c:scaling>
          <c:orientation val="minMax"/>
        </c:scaling>
        <c:axPos val="b"/>
        <c:numFmt formatCode="General" sourceLinked="1"/>
        <c:tickLblPos val="nextTo"/>
        <c:crossAx val="161302784"/>
        <c:crosses val="autoZero"/>
        <c:crossBetween val="midCat"/>
      </c:valAx>
      <c:valAx>
        <c:axId val="161302784"/>
        <c:scaling>
          <c:orientation val="minMax"/>
        </c:scaling>
        <c:axPos val="l"/>
        <c:majorGridlines/>
        <c:numFmt formatCode="General" sourceLinked="1"/>
        <c:tickLblPos val="nextTo"/>
        <c:crossAx val="16130124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51</xdr:row>
      <xdr:rowOff>114300</xdr:rowOff>
    </xdr:from>
    <xdr:to>
      <xdr:col>6</xdr:col>
      <xdr:colOff>790575</xdr:colOff>
      <xdr:row>76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533401</xdr:colOff>
      <xdr:row>1</xdr:row>
      <xdr:rowOff>66675</xdr:rowOff>
    </xdr:from>
    <xdr:to>
      <xdr:col>7</xdr:col>
      <xdr:colOff>171450</xdr:colOff>
      <xdr:row>14</xdr:row>
      <xdr:rowOff>28574</xdr:rowOff>
    </xdr:to>
    <xdr:pic>
      <xdr:nvPicPr>
        <xdr:cNvPr id="2" name="Picture 1" descr="be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4801" y="323850"/>
          <a:ext cx="2000249" cy="25526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_R_Latifee/Documents/GPA%20vs%20Aptitude%20Score%20for%20S17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GPA</v>
          </cell>
        </row>
        <row r="4">
          <cell r="D4">
            <v>59</v>
          </cell>
          <cell r="E4">
            <v>3.7810000000000001</v>
          </cell>
        </row>
        <row r="5">
          <cell r="D5">
            <v>37</v>
          </cell>
          <cell r="E5">
            <v>3.33</v>
          </cell>
        </row>
        <row r="6">
          <cell r="D6">
            <v>35</v>
          </cell>
          <cell r="E6">
            <v>2.4740000000000002</v>
          </cell>
        </row>
        <row r="7">
          <cell r="D7">
            <v>40</v>
          </cell>
          <cell r="E7">
            <v>3.1749999999999998</v>
          </cell>
        </row>
        <row r="8">
          <cell r="D8">
            <v>45</v>
          </cell>
          <cell r="E8">
            <v>3.512</v>
          </cell>
        </row>
        <row r="9">
          <cell r="D9">
            <v>54</v>
          </cell>
          <cell r="E9">
            <v>3.8410000000000002</v>
          </cell>
        </row>
        <row r="10">
          <cell r="D10">
            <v>34</v>
          </cell>
          <cell r="E10">
            <v>2.915</v>
          </cell>
        </row>
        <row r="11">
          <cell r="D11">
            <v>57</v>
          </cell>
          <cell r="E11">
            <v>3.7189999999999999</v>
          </cell>
        </row>
        <row r="12">
          <cell r="D12">
            <v>52</v>
          </cell>
          <cell r="E12">
            <v>3.7210000000000001</v>
          </cell>
        </row>
        <row r="13">
          <cell r="D13">
            <v>31</v>
          </cell>
          <cell r="E13">
            <v>2.6520000000000001</v>
          </cell>
        </row>
        <row r="14">
          <cell r="D14">
            <v>36</v>
          </cell>
          <cell r="E14">
            <v>2.3279999999999998</v>
          </cell>
        </row>
        <row r="15">
          <cell r="D15">
            <v>43</v>
          </cell>
          <cell r="E15">
            <v>2.742</v>
          </cell>
        </row>
        <row r="16">
          <cell r="D16">
            <v>49</v>
          </cell>
          <cell r="E16">
            <v>2.5019999999999998</v>
          </cell>
        </row>
        <row r="17">
          <cell r="D17">
            <v>50</v>
          </cell>
          <cell r="E17">
            <v>2.9540000000000002</v>
          </cell>
        </row>
        <row r="18">
          <cell r="D18">
            <v>34</v>
          </cell>
          <cell r="E18">
            <v>2.2589999999999999</v>
          </cell>
        </row>
        <row r="19">
          <cell r="D19">
            <v>25</v>
          </cell>
          <cell r="E19">
            <v>2.0619999999999998</v>
          </cell>
        </row>
        <row r="20">
          <cell r="D20">
            <v>46</v>
          </cell>
          <cell r="E20">
            <v>2.9340000000000002</v>
          </cell>
        </row>
        <row r="21">
          <cell r="D21">
            <v>38</v>
          </cell>
          <cell r="E21">
            <v>2.8820000000000001</v>
          </cell>
        </row>
        <row r="22">
          <cell r="D22">
            <v>34</v>
          </cell>
          <cell r="E22">
            <v>2.698</v>
          </cell>
        </row>
        <row r="23">
          <cell r="D23">
            <v>43</v>
          </cell>
          <cell r="E23">
            <v>3.8780000000000001</v>
          </cell>
        </row>
        <row r="24">
          <cell r="D24">
            <v>41</v>
          </cell>
          <cell r="E24">
            <v>3.4220000000000002</v>
          </cell>
        </row>
        <row r="25">
          <cell r="D25">
            <v>43</v>
          </cell>
          <cell r="E25">
            <v>3.0630000000000002</v>
          </cell>
        </row>
        <row r="26">
          <cell r="D26">
            <v>32</v>
          </cell>
          <cell r="E26">
            <v>2.762</v>
          </cell>
        </row>
        <row r="27">
          <cell r="D27">
            <v>30</v>
          </cell>
          <cell r="E27">
            <v>2.0990000000000002</v>
          </cell>
        </row>
        <row r="28">
          <cell r="D28">
            <v>39</v>
          </cell>
          <cell r="E28">
            <v>2.8319999999999999</v>
          </cell>
        </row>
        <row r="29">
          <cell r="D29">
            <v>47</v>
          </cell>
          <cell r="E29">
            <v>2.2890000000000001</v>
          </cell>
        </row>
        <row r="30">
          <cell r="D30">
            <v>22</v>
          </cell>
          <cell r="E30">
            <v>2.33</v>
          </cell>
        </row>
        <row r="31">
          <cell r="D31">
            <v>50</v>
          </cell>
          <cell r="E31">
            <v>3.2320000000000002</v>
          </cell>
        </row>
        <row r="32">
          <cell r="D32">
            <v>41</v>
          </cell>
          <cell r="E32">
            <v>1.5</v>
          </cell>
        </row>
        <row r="33">
          <cell r="D33">
            <v>39</v>
          </cell>
          <cell r="E33">
            <v>2.4710000000000001</v>
          </cell>
        </row>
        <row r="34">
          <cell r="D34">
            <v>30</v>
          </cell>
          <cell r="E34">
            <v>2.7770000000000001</v>
          </cell>
        </row>
        <row r="35">
          <cell r="D35">
            <v>44</v>
          </cell>
          <cell r="E35">
            <v>2.5289999999999999</v>
          </cell>
        </row>
        <row r="36">
          <cell r="D36">
            <v>55</v>
          </cell>
          <cell r="E36">
            <v>2.8159999999999998</v>
          </cell>
        </row>
        <row r="37">
          <cell r="D37">
            <v>49</v>
          </cell>
          <cell r="E37">
            <v>3.1629999999999998</v>
          </cell>
        </row>
        <row r="38">
          <cell r="D38">
            <v>39</v>
          </cell>
          <cell r="E38">
            <v>1.9730000000000001</v>
          </cell>
        </row>
        <row r="39">
          <cell r="D39">
            <v>54</v>
          </cell>
          <cell r="E39">
            <v>3.42</v>
          </cell>
        </row>
        <row r="40">
          <cell r="D40">
            <v>41</v>
          </cell>
          <cell r="E40">
            <v>3.3220000000000001</v>
          </cell>
        </row>
        <row r="41">
          <cell r="D41">
            <v>45</v>
          </cell>
          <cell r="E41">
            <v>3.4249999999999998</v>
          </cell>
        </row>
        <row r="42">
          <cell r="D42">
            <v>22</v>
          </cell>
          <cell r="E42">
            <v>1.276</v>
          </cell>
        </row>
        <row r="43">
          <cell r="D43">
            <v>29</v>
          </cell>
          <cell r="E43">
            <v>1.635</v>
          </cell>
        </row>
        <row r="44">
          <cell r="D44">
            <v>35</v>
          </cell>
          <cell r="E44">
            <v>2.125</v>
          </cell>
        </row>
        <row r="45">
          <cell r="D45">
            <v>33</v>
          </cell>
          <cell r="E45">
            <v>1.9670000000000001</v>
          </cell>
        </row>
        <row r="46">
          <cell r="D46">
            <v>33</v>
          </cell>
          <cell r="E46">
            <v>2.548</v>
          </cell>
        </row>
        <row r="47">
          <cell r="D47">
            <v>49</v>
          </cell>
          <cell r="E47">
            <v>2.157</v>
          </cell>
        </row>
        <row r="48">
          <cell r="D48">
            <v>42</v>
          </cell>
          <cell r="E48">
            <v>2.7149999999999999</v>
          </cell>
        </row>
        <row r="49">
          <cell r="D49">
            <v>35</v>
          </cell>
          <cell r="E49">
            <v>2.1040000000000001</v>
          </cell>
        </row>
        <row r="50">
          <cell r="D50">
            <v>51</v>
          </cell>
          <cell r="E50">
            <v>1.786</v>
          </cell>
        </row>
        <row r="51">
          <cell r="D51">
            <v>32</v>
          </cell>
          <cell r="E51">
            <v>2.8319999999999999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N14"/>
  <sheetViews>
    <sheetView workbookViewId="0">
      <selection activeCell="G10" sqref="G10"/>
    </sheetView>
  </sheetViews>
  <sheetFormatPr defaultRowHeight="15"/>
  <cols>
    <col min="5" max="5" width="15.28515625" bestFit="1" customWidth="1"/>
    <col min="6" max="6" width="15.7109375" bestFit="1" customWidth="1"/>
    <col min="9" max="9" width="15.28515625" bestFit="1" customWidth="1"/>
    <col min="10" max="10" width="21.7109375" customWidth="1"/>
  </cols>
  <sheetData>
    <row r="2" spans="9:14">
      <c r="J2" t="s">
        <v>4</v>
      </c>
      <c r="K2" t="s">
        <v>5</v>
      </c>
    </row>
    <row r="3" spans="9:14" ht="45">
      <c r="J3" t="s">
        <v>3</v>
      </c>
      <c r="K3">
        <v>11</v>
      </c>
      <c r="N3" s="1" t="s">
        <v>6</v>
      </c>
    </row>
    <row r="4" spans="9:14">
      <c r="J4" t="s">
        <v>7</v>
      </c>
      <c r="N4" s="2" t="s">
        <v>7</v>
      </c>
    </row>
    <row r="5" spans="9:14">
      <c r="J5" t="s">
        <v>0</v>
      </c>
      <c r="K5">
        <v>90</v>
      </c>
    </row>
    <row r="6" spans="9:14">
      <c r="J6" t="s">
        <v>1</v>
      </c>
      <c r="K6">
        <v>52</v>
      </c>
    </row>
    <row r="7" spans="9:14">
      <c r="K7">
        <v>30</v>
      </c>
      <c r="N7" t="s">
        <v>609</v>
      </c>
    </row>
    <row r="8" spans="9:14">
      <c r="J8" t="s">
        <v>2</v>
      </c>
    </row>
    <row r="9" spans="9:14">
      <c r="I9" s="2" t="s">
        <v>8</v>
      </c>
      <c r="J9">
        <f>COUNTIF(J3:J8,"&lt;&gt;")</f>
        <v>5</v>
      </c>
      <c r="K9">
        <f>COUNTIF(K3:K8,"&lt;&gt;")</f>
        <v>4</v>
      </c>
    </row>
    <row r="10" spans="9:14" ht="60">
      <c r="I10" s="3" t="s">
        <v>9</v>
      </c>
      <c r="J10" s="4"/>
    </row>
    <row r="13" spans="9:14">
      <c r="I13" s="2" t="s">
        <v>8</v>
      </c>
      <c r="J13">
        <f>COUNTIF(J2:J8,"")</f>
        <v>1</v>
      </c>
      <c r="K13">
        <f>COUNTIF(K2:K8,"")</f>
        <v>2</v>
      </c>
    </row>
    <row r="14" spans="9:14" ht="60">
      <c r="I14" s="3" t="s">
        <v>602</v>
      </c>
    </row>
  </sheetData>
  <conditionalFormatting sqref="K3:K10">
    <cfRule type="cellIs" dxfId="2" priority="1" operator="greaterThan">
      <formula>47</formula>
    </cfRule>
  </conditionalFormatting>
  <dataValidations count="3">
    <dataValidation type="list" allowBlank="1" showInputMessage="1" showErrorMessage="1" sqref="N4">
      <formula1>$J$3:$J$6</formula1>
    </dataValidation>
    <dataValidation type="list" allowBlank="1" showInputMessage="1" showErrorMessage="1" sqref="N7">
      <formula1>"yes, no"</formula1>
    </dataValidation>
    <dataValidation type="whole" allowBlank="1" showInputMessage="1" showErrorMessage="1" sqref="N10">
      <formula1>0</formula1>
      <formula2>100</formula2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3"/>
  <sheetViews>
    <sheetView topLeftCell="A223" workbookViewId="0">
      <selection activeCell="D16" sqref="D16"/>
    </sheetView>
  </sheetViews>
  <sheetFormatPr defaultRowHeight="15"/>
  <cols>
    <col min="1" max="1" width="3.42578125" bestFit="1" customWidth="1"/>
    <col min="2" max="2" width="13.85546875" bestFit="1" customWidth="1"/>
    <col min="3" max="3" width="17.42578125" customWidth="1"/>
    <col min="4" max="4" width="14.28515625" style="5" bestFit="1" customWidth="1"/>
    <col min="5" max="5" width="6" bestFit="1" customWidth="1"/>
    <col min="7" max="7" width="28.42578125" bestFit="1" customWidth="1"/>
    <col min="8" max="8" width="10" bestFit="1" customWidth="1"/>
  </cols>
  <sheetData>
    <row r="1" spans="1:10" ht="15.75" thickBot="1"/>
    <row r="2" spans="1:10" ht="15.75" thickBot="1">
      <c r="A2" s="6"/>
      <c r="B2" s="7"/>
      <c r="C2" s="7"/>
      <c r="D2" s="8" t="s">
        <v>10</v>
      </c>
      <c r="E2" s="9"/>
    </row>
    <row r="3" spans="1:10" ht="15.75" thickBot="1">
      <c r="A3" s="10" t="s">
        <v>11</v>
      </c>
      <c r="B3" s="11" t="s">
        <v>12</v>
      </c>
      <c r="C3" s="11" t="s">
        <v>13</v>
      </c>
      <c r="D3" s="12" t="s">
        <v>14</v>
      </c>
      <c r="E3" s="13" t="s">
        <v>15</v>
      </c>
      <c r="H3" t="s">
        <v>16</v>
      </c>
      <c r="I3" t="s">
        <v>15</v>
      </c>
    </row>
    <row r="4" spans="1:10">
      <c r="A4" s="14">
        <v>29</v>
      </c>
      <c r="B4" s="15"/>
      <c r="C4" s="15">
        <v>201101885</v>
      </c>
      <c r="D4" s="16">
        <v>41</v>
      </c>
      <c r="E4" s="17" t="e">
        <f t="shared" ref="E4:E32" si="0">VLOOKUP(C4,$H$4:$I$243,3,FALSE)</f>
        <v>#REF!</v>
      </c>
      <c r="H4">
        <v>200801678</v>
      </c>
      <c r="I4">
        <v>0.57399999999999995</v>
      </c>
      <c r="J4">
        <v>39</v>
      </c>
    </row>
    <row r="5" spans="1:10">
      <c r="A5" s="14">
        <v>16</v>
      </c>
      <c r="B5" s="15"/>
      <c r="C5" s="15">
        <v>201113009</v>
      </c>
      <c r="D5" s="16">
        <v>25</v>
      </c>
      <c r="E5" s="17" t="e">
        <f t="shared" si="0"/>
        <v>#REF!</v>
      </c>
      <c r="H5">
        <v>200808400</v>
      </c>
      <c r="I5">
        <v>0.67700000000000005</v>
      </c>
      <c r="J5">
        <v>83</v>
      </c>
    </row>
    <row r="6" spans="1:10">
      <c r="A6" s="14">
        <v>22</v>
      </c>
      <c r="B6" s="15"/>
      <c r="C6" s="15">
        <v>201200679</v>
      </c>
      <c r="D6" s="16">
        <v>43</v>
      </c>
      <c r="E6" s="17" t="e">
        <f t="shared" si="0"/>
        <v>#REF!</v>
      </c>
      <c r="H6">
        <v>200808797</v>
      </c>
      <c r="I6">
        <v>0.42899999999999999</v>
      </c>
      <c r="J6">
        <v>41</v>
      </c>
    </row>
    <row r="7" spans="1:10">
      <c r="A7" s="14">
        <v>23</v>
      </c>
      <c r="B7" s="15"/>
      <c r="C7" s="15">
        <v>201200689</v>
      </c>
      <c r="D7" s="16">
        <v>32</v>
      </c>
      <c r="E7" s="17" t="e">
        <f t="shared" si="0"/>
        <v>#REF!</v>
      </c>
      <c r="H7">
        <v>200809370</v>
      </c>
      <c r="I7">
        <v>0.53500000000000003</v>
      </c>
      <c r="J7">
        <v>65</v>
      </c>
    </row>
    <row r="8" spans="1:10">
      <c r="A8" s="14">
        <v>6</v>
      </c>
      <c r="B8" s="15"/>
      <c r="C8" s="15">
        <v>201201250</v>
      </c>
      <c r="D8" s="16">
        <v>54</v>
      </c>
      <c r="E8" s="17" t="e">
        <f t="shared" si="0"/>
        <v>#REF!</v>
      </c>
      <c r="H8">
        <v>200811223</v>
      </c>
      <c r="I8">
        <v>0.33500000000000002</v>
      </c>
      <c r="J8">
        <v>27</v>
      </c>
    </row>
    <row r="9" spans="1:10">
      <c r="A9" s="14">
        <v>7</v>
      </c>
      <c r="B9" s="15"/>
      <c r="C9" s="15">
        <v>201201855</v>
      </c>
      <c r="D9" s="16">
        <v>34</v>
      </c>
      <c r="E9" s="17" t="e">
        <f t="shared" si="0"/>
        <v>#REF!</v>
      </c>
      <c r="H9">
        <v>200813377</v>
      </c>
      <c r="I9">
        <v>1.1479999999999999</v>
      </c>
      <c r="J9">
        <v>114</v>
      </c>
    </row>
    <row r="10" spans="1:10">
      <c r="A10" s="14">
        <v>1</v>
      </c>
      <c r="B10" s="15"/>
      <c r="C10" s="15">
        <v>201202197</v>
      </c>
      <c r="D10" s="16">
        <v>59</v>
      </c>
      <c r="E10" s="17" t="e">
        <f t="shared" si="0"/>
        <v>#REF!</v>
      </c>
      <c r="H10">
        <v>200900718</v>
      </c>
      <c r="I10">
        <v>1.3959999999999999</v>
      </c>
      <c r="J10">
        <v>133</v>
      </c>
    </row>
    <row r="11" spans="1:10">
      <c r="A11" s="14">
        <v>2</v>
      </c>
      <c r="B11" s="15"/>
      <c r="C11" s="15">
        <v>201202943</v>
      </c>
      <c r="D11" s="16">
        <v>37</v>
      </c>
      <c r="E11" s="17" t="e">
        <f t="shared" si="0"/>
        <v>#REF!</v>
      </c>
      <c r="H11">
        <v>200900813</v>
      </c>
      <c r="I11">
        <v>0.92400000000000004</v>
      </c>
      <c r="J11">
        <v>68</v>
      </c>
    </row>
    <row r="12" spans="1:10">
      <c r="A12" s="14">
        <v>11</v>
      </c>
      <c r="B12" s="15"/>
      <c r="C12" s="15">
        <v>201204084</v>
      </c>
      <c r="D12" s="16">
        <v>36</v>
      </c>
      <c r="E12" s="17" t="e">
        <f t="shared" si="0"/>
        <v>#REF!</v>
      </c>
      <c r="H12">
        <v>200901611</v>
      </c>
      <c r="I12">
        <v>1.0409999999999999</v>
      </c>
      <c r="J12">
        <v>99</v>
      </c>
    </row>
    <row r="13" spans="1:10">
      <c r="A13" s="14">
        <v>8</v>
      </c>
      <c r="B13" s="15"/>
      <c r="C13" s="15">
        <v>201204154</v>
      </c>
      <c r="D13" s="16">
        <v>57</v>
      </c>
      <c r="E13" s="17" t="e">
        <f t="shared" si="0"/>
        <v>#REF!</v>
      </c>
      <c r="H13">
        <v>200904526</v>
      </c>
      <c r="I13">
        <v>1.456</v>
      </c>
      <c r="J13">
        <v>118</v>
      </c>
    </row>
    <row r="14" spans="1:10">
      <c r="A14" s="14">
        <v>26</v>
      </c>
      <c r="B14" s="15"/>
      <c r="C14" s="15">
        <v>201204760</v>
      </c>
      <c r="D14" s="16">
        <v>47</v>
      </c>
      <c r="E14" s="17" t="e">
        <f t="shared" si="0"/>
        <v>#REF!</v>
      </c>
      <c r="H14">
        <v>200904932</v>
      </c>
      <c r="I14">
        <v>0</v>
      </c>
      <c r="J14">
        <v>0</v>
      </c>
    </row>
    <row r="15" spans="1:10">
      <c r="A15" s="14">
        <v>24</v>
      </c>
      <c r="B15" s="15"/>
      <c r="C15" s="15">
        <v>201206588</v>
      </c>
      <c r="D15" s="16">
        <v>30</v>
      </c>
      <c r="E15" s="17" t="e">
        <f t="shared" si="0"/>
        <v>#REF!</v>
      </c>
      <c r="H15">
        <v>200905678</v>
      </c>
      <c r="I15">
        <v>1.0629999999999999</v>
      </c>
      <c r="J15">
        <v>100</v>
      </c>
    </row>
    <row r="16" spans="1:10">
      <c r="A16" s="14">
        <v>3</v>
      </c>
      <c r="B16" s="15"/>
      <c r="C16" s="15">
        <v>201206764</v>
      </c>
      <c r="D16" s="16">
        <v>35</v>
      </c>
      <c r="E16" s="17" t="e">
        <f t="shared" si="0"/>
        <v>#REF!</v>
      </c>
      <c r="H16">
        <v>200906384</v>
      </c>
      <c r="I16">
        <v>1.7989999999999999</v>
      </c>
      <c r="J16">
        <v>55</v>
      </c>
    </row>
    <row r="17" spans="1:10">
      <c r="A17" s="14">
        <v>4</v>
      </c>
      <c r="B17" s="15"/>
      <c r="C17" s="15">
        <v>201207194</v>
      </c>
      <c r="D17" s="16">
        <v>40</v>
      </c>
      <c r="E17" s="17" t="e">
        <f t="shared" si="0"/>
        <v>#REF!</v>
      </c>
      <c r="H17">
        <v>200906711</v>
      </c>
      <c r="I17">
        <v>0.81599999999999995</v>
      </c>
      <c r="J17">
        <v>71</v>
      </c>
    </row>
    <row r="18" spans="1:10">
      <c r="A18" s="14">
        <v>17</v>
      </c>
      <c r="B18" s="15"/>
      <c r="C18" s="15">
        <v>201207538</v>
      </c>
      <c r="D18" s="16">
        <v>46</v>
      </c>
      <c r="E18" s="17" t="e">
        <f t="shared" si="0"/>
        <v>#REF!</v>
      </c>
      <c r="H18">
        <v>200906949</v>
      </c>
      <c r="I18">
        <v>1.2190000000000001</v>
      </c>
      <c r="J18">
        <v>125</v>
      </c>
    </row>
    <row r="19" spans="1:10">
      <c r="A19" s="14">
        <v>25</v>
      </c>
      <c r="B19" s="15"/>
      <c r="C19" s="15">
        <v>201207894</v>
      </c>
      <c r="D19" s="16">
        <v>39</v>
      </c>
      <c r="E19" s="17" t="e">
        <f t="shared" si="0"/>
        <v>#REF!</v>
      </c>
      <c r="H19">
        <v>200907577</v>
      </c>
      <c r="I19">
        <v>0.74299999999999999</v>
      </c>
      <c r="J19">
        <v>37</v>
      </c>
    </row>
    <row r="20" spans="1:10">
      <c r="A20" s="14">
        <v>18</v>
      </c>
      <c r="B20" s="15"/>
      <c r="C20" s="15">
        <v>201210215</v>
      </c>
      <c r="D20" s="16">
        <v>38</v>
      </c>
      <c r="E20" s="17" t="e">
        <f t="shared" si="0"/>
        <v>#REF!</v>
      </c>
      <c r="H20">
        <v>200908708</v>
      </c>
      <c r="I20">
        <v>1.276</v>
      </c>
      <c r="J20">
        <v>80</v>
      </c>
    </row>
    <row r="21" spans="1:10">
      <c r="A21" s="14">
        <v>5</v>
      </c>
      <c r="B21" s="15"/>
      <c r="C21" s="15">
        <v>201210423</v>
      </c>
      <c r="D21" s="16">
        <v>45</v>
      </c>
      <c r="E21" s="17" t="e">
        <f t="shared" si="0"/>
        <v>#REF!</v>
      </c>
      <c r="H21">
        <v>200911028</v>
      </c>
      <c r="I21">
        <v>1.0449999999999999</v>
      </c>
      <c r="J21">
        <v>123</v>
      </c>
    </row>
    <row r="22" spans="1:10">
      <c r="A22" s="14">
        <v>27</v>
      </c>
      <c r="B22" s="15"/>
      <c r="C22" s="15">
        <v>201210960</v>
      </c>
      <c r="D22" s="16">
        <v>22</v>
      </c>
      <c r="E22" s="17" t="e">
        <f t="shared" si="0"/>
        <v>#REF!</v>
      </c>
      <c r="H22">
        <v>200911302</v>
      </c>
      <c r="I22">
        <v>1.6539999999999999</v>
      </c>
      <c r="J22">
        <v>108</v>
      </c>
    </row>
    <row r="23" spans="1:10">
      <c r="A23" s="14">
        <v>19</v>
      </c>
      <c r="B23" s="15"/>
      <c r="C23" s="15">
        <v>201212531</v>
      </c>
      <c r="D23" s="16">
        <v>34</v>
      </c>
      <c r="E23" s="17" t="e">
        <f t="shared" si="0"/>
        <v>#REF!</v>
      </c>
      <c r="H23">
        <v>200914293</v>
      </c>
      <c r="I23">
        <v>1.304</v>
      </c>
      <c r="J23">
        <v>152</v>
      </c>
    </row>
    <row r="24" spans="1:10">
      <c r="A24" s="14">
        <v>12</v>
      </c>
      <c r="B24" s="15"/>
      <c r="C24" s="15">
        <v>201212806</v>
      </c>
      <c r="D24" s="16">
        <v>43</v>
      </c>
      <c r="E24" s="17" t="e">
        <f t="shared" si="0"/>
        <v>#REF!</v>
      </c>
      <c r="H24">
        <v>201000323</v>
      </c>
      <c r="I24">
        <v>0.68400000000000005</v>
      </c>
      <c r="J24">
        <v>56</v>
      </c>
    </row>
    <row r="25" spans="1:10">
      <c r="A25" s="14">
        <v>13</v>
      </c>
      <c r="B25" s="15"/>
      <c r="C25" s="15">
        <v>201213054</v>
      </c>
      <c r="D25" s="16">
        <v>49</v>
      </c>
      <c r="E25" s="17" t="e">
        <f t="shared" si="0"/>
        <v>#REF!</v>
      </c>
      <c r="H25">
        <v>201000354</v>
      </c>
      <c r="I25">
        <v>1.536</v>
      </c>
      <c r="J25">
        <v>129</v>
      </c>
    </row>
    <row r="26" spans="1:10">
      <c r="A26" s="14">
        <v>14</v>
      </c>
      <c r="B26" s="15"/>
      <c r="C26" s="15">
        <v>201213813</v>
      </c>
      <c r="D26" s="16">
        <v>50</v>
      </c>
      <c r="E26" s="17" t="e">
        <f t="shared" si="0"/>
        <v>#REF!</v>
      </c>
      <c r="H26">
        <v>201002026</v>
      </c>
      <c r="I26">
        <v>1.41</v>
      </c>
      <c r="J26">
        <v>104</v>
      </c>
    </row>
    <row r="27" spans="1:10">
      <c r="A27" s="14">
        <v>15</v>
      </c>
      <c r="B27" s="15"/>
      <c r="C27" s="15">
        <v>201213814</v>
      </c>
      <c r="D27" s="16">
        <v>34</v>
      </c>
      <c r="E27" s="17" t="e">
        <f t="shared" si="0"/>
        <v>#REF!</v>
      </c>
      <c r="H27">
        <v>201002646</v>
      </c>
      <c r="I27">
        <v>1.3160000000000001</v>
      </c>
      <c r="J27">
        <v>117</v>
      </c>
    </row>
    <row r="28" spans="1:10">
      <c r="A28" s="14">
        <v>9</v>
      </c>
      <c r="B28" s="15"/>
      <c r="C28" s="15">
        <v>201215501</v>
      </c>
      <c r="D28" s="16">
        <v>52</v>
      </c>
      <c r="E28" s="17" t="e">
        <f t="shared" si="0"/>
        <v>#REF!</v>
      </c>
      <c r="H28">
        <v>201002688</v>
      </c>
      <c r="I28">
        <v>1.3</v>
      </c>
      <c r="J28">
        <v>104</v>
      </c>
    </row>
    <row r="29" spans="1:10">
      <c r="A29" s="14">
        <v>28</v>
      </c>
      <c r="B29" s="15"/>
      <c r="C29" s="15">
        <v>201215596</v>
      </c>
      <c r="D29" s="16">
        <v>50</v>
      </c>
      <c r="E29" s="17" t="e">
        <f t="shared" si="0"/>
        <v>#REF!</v>
      </c>
      <c r="H29">
        <v>201004846</v>
      </c>
      <c r="I29">
        <v>2.3029999999999999</v>
      </c>
      <c r="J29">
        <v>105</v>
      </c>
    </row>
    <row r="30" spans="1:10">
      <c r="A30" s="14">
        <v>20</v>
      </c>
      <c r="B30" s="15"/>
      <c r="C30" s="15">
        <v>201215618</v>
      </c>
      <c r="D30" s="16">
        <v>43</v>
      </c>
      <c r="E30" s="17" t="e">
        <f t="shared" si="0"/>
        <v>#REF!</v>
      </c>
      <c r="H30">
        <v>201004870</v>
      </c>
      <c r="I30">
        <v>1.3360000000000001</v>
      </c>
      <c r="J30">
        <v>116</v>
      </c>
    </row>
    <row r="31" spans="1:10">
      <c r="A31" s="14">
        <v>21</v>
      </c>
      <c r="B31" s="15"/>
      <c r="C31" s="15">
        <v>201215672</v>
      </c>
      <c r="D31" s="16">
        <v>41</v>
      </c>
      <c r="E31" s="17" t="e">
        <f t="shared" si="0"/>
        <v>#REF!</v>
      </c>
      <c r="H31">
        <v>201005354</v>
      </c>
      <c r="I31">
        <v>1.2410000000000001</v>
      </c>
      <c r="J31">
        <v>130</v>
      </c>
    </row>
    <row r="32" spans="1:10" ht="15.75" thickBot="1">
      <c r="A32" s="14">
        <v>10</v>
      </c>
      <c r="B32" s="15"/>
      <c r="C32" s="15">
        <v>201315833</v>
      </c>
      <c r="D32" s="16">
        <v>31</v>
      </c>
      <c r="E32" s="17" t="e">
        <f t="shared" si="0"/>
        <v>#REF!</v>
      </c>
      <c r="H32">
        <v>201005382</v>
      </c>
      <c r="I32">
        <v>1.3560000000000001</v>
      </c>
      <c r="J32">
        <v>124</v>
      </c>
    </row>
    <row r="33" spans="1:10" ht="15.75" thickBot="1">
      <c r="A33" s="6"/>
      <c r="B33" s="7"/>
      <c r="C33" s="7"/>
      <c r="D33" s="8" t="s">
        <v>10</v>
      </c>
      <c r="E33" s="9"/>
      <c r="H33">
        <v>201005749</v>
      </c>
      <c r="I33">
        <v>1.282</v>
      </c>
      <c r="J33">
        <v>104</v>
      </c>
    </row>
    <row r="34" spans="1:10" ht="15.75" thickBot="1">
      <c r="A34" s="10" t="s">
        <v>11</v>
      </c>
      <c r="B34" s="11" t="s">
        <v>12</v>
      </c>
      <c r="C34" s="11" t="s">
        <v>13</v>
      </c>
      <c r="D34" s="12" t="s">
        <v>14</v>
      </c>
      <c r="E34" s="13" t="s">
        <v>15</v>
      </c>
      <c r="H34">
        <v>201006293</v>
      </c>
      <c r="I34">
        <v>1.276</v>
      </c>
      <c r="J34">
        <v>98</v>
      </c>
    </row>
    <row r="35" spans="1:10">
      <c r="A35" s="14">
        <v>30</v>
      </c>
      <c r="B35" s="15"/>
      <c r="C35" s="15">
        <v>201191751.84729099</v>
      </c>
      <c r="D35" s="16">
        <v>36.4088669950739</v>
      </c>
      <c r="E35" s="17" t="e">
        <f t="shared" ref="E35:E51" si="1">VLOOKUP(C35,$H$4:$I$243,3,FALSE)</f>
        <v>#N/A</v>
      </c>
      <c r="H35">
        <v>201006958</v>
      </c>
      <c r="I35">
        <v>0.61799999999999999</v>
      </c>
      <c r="J35">
        <v>29</v>
      </c>
    </row>
    <row r="36" spans="1:10">
      <c r="A36" s="14">
        <v>31</v>
      </c>
      <c r="B36" s="15"/>
      <c r="C36" s="15">
        <v>201190858.70837399</v>
      </c>
      <c r="D36" s="16">
        <v>36.107389162561603</v>
      </c>
      <c r="E36" s="17" t="e">
        <f t="shared" si="1"/>
        <v>#N/A</v>
      </c>
      <c r="H36">
        <v>201007106</v>
      </c>
      <c r="I36">
        <v>1.476</v>
      </c>
      <c r="J36">
        <v>104</v>
      </c>
    </row>
    <row r="37" spans="1:10">
      <c r="A37" s="14">
        <v>32</v>
      </c>
      <c r="B37" s="15"/>
      <c r="C37" s="15">
        <v>201189965.56945801</v>
      </c>
      <c r="D37" s="16">
        <v>35.805911330049298</v>
      </c>
      <c r="E37" s="17" t="e">
        <f t="shared" si="1"/>
        <v>#N/A</v>
      </c>
      <c r="H37">
        <v>201007173</v>
      </c>
      <c r="I37">
        <v>1.411</v>
      </c>
      <c r="J37">
        <v>126</v>
      </c>
    </row>
    <row r="38" spans="1:10">
      <c r="A38" s="14">
        <v>33</v>
      </c>
      <c r="B38" s="15"/>
      <c r="C38" s="15">
        <v>201189072.43054199</v>
      </c>
      <c r="D38" s="16">
        <v>35.504433497536901</v>
      </c>
      <c r="E38" s="17" t="e">
        <f t="shared" si="1"/>
        <v>#N/A</v>
      </c>
      <c r="H38">
        <v>201008212</v>
      </c>
      <c r="I38">
        <v>1.6020000000000001</v>
      </c>
      <c r="J38">
        <v>111</v>
      </c>
    </row>
    <row r="39" spans="1:10">
      <c r="A39" s="14">
        <v>34</v>
      </c>
      <c r="B39" s="15"/>
      <c r="C39" s="15">
        <v>201188179.29162601</v>
      </c>
      <c r="D39" s="16">
        <v>35.202955665024596</v>
      </c>
      <c r="E39" s="17" t="e">
        <f t="shared" si="1"/>
        <v>#N/A</v>
      </c>
      <c r="H39">
        <v>201008656</v>
      </c>
      <c r="I39">
        <v>0.90400000000000003</v>
      </c>
      <c r="J39">
        <v>51</v>
      </c>
    </row>
    <row r="40" spans="1:10">
      <c r="A40" s="14">
        <v>35</v>
      </c>
      <c r="B40" s="15"/>
      <c r="C40" s="15">
        <v>201187286.15270901</v>
      </c>
      <c r="D40" s="16">
        <v>34.901477832512299</v>
      </c>
      <c r="E40" s="17" t="e">
        <f t="shared" si="1"/>
        <v>#N/A</v>
      </c>
      <c r="H40">
        <v>201009642</v>
      </c>
      <c r="I40">
        <v>1.3049999999999999</v>
      </c>
      <c r="J40">
        <v>106</v>
      </c>
    </row>
    <row r="41" spans="1:10">
      <c r="A41" s="14">
        <v>36</v>
      </c>
      <c r="B41" s="15"/>
      <c r="C41" s="15">
        <v>201186393.01379299</v>
      </c>
      <c r="D41" s="16">
        <v>34.6</v>
      </c>
      <c r="E41" s="17" t="e">
        <f t="shared" si="1"/>
        <v>#N/A</v>
      </c>
      <c r="H41">
        <v>201010608</v>
      </c>
      <c r="I41">
        <v>1.8069999999999999</v>
      </c>
      <c r="J41">
        <v>110</v>
      </c>
    </row>
    <row r="42" spans="1:10">
      <c r="A42" s="14">
        <v>37</v>
      </c>
      <c r="B42" s="15"/>
      <c r="C42" s="15">
        <v>201185499.87487701</v>
      </c>
      <c r="D42" s="16">
        <v>34.298522167487597</v>
      </c>
      <c r="E42" s="17" t="e">
        <f t="shared" si="1"/>
        <v>#N/A</v>
      </c>
      <c r="H42">
        <v>201010672</v>
      </c>
      <c r="I42">
        <v>1.647</v>
      </c>
      <c r="J42">
        <v>105</v>
      </c>
    </row>
    <row r="43" spans="1:10">
      <c r="A43" s="14">
        <v>38</v>
      </c>
      <c r="B43" s="15"/>
      <c r="C43" s="15">
        <v>201184606.73596099</v>
      </c>
      <c r="D43" s="16">
        <v>33.9970443349753</v>
      </c>
      <c r="E43" s="17" t="e">
        <f t="shared" si="1"/>
        <v>#N/A</v>
      </c>
      <c r="H43">
        <v>201012184</v>
      </c>
      <c r="I43">
        <v>1.169</v>
      </c>
      <c r="J43">
        <v>92</v>
      </c>
    </row>
    <row r="44" spans="1:10">
      <c r="A44" s="14">
        <v>39</v>
      </c>
      <c r="B44" s="15"/>
      <c r="C44" s="15">
        <v>201183713.59704399</v>
      </c>
      <c r="D44" s="16">
        <v>33.695566502463002</v>
      </c>
      <c r="E44" s="17" t="e">
        <f t="shared" si="1"/>
        <v>#N/A</v>
      </c>
      <c r="H44">
        <v>201013934</v>
      </c>
      <c r="I44">
        <v>1.1279999999999999</v>
      </c>
      <c r="J44">
        <v>125</v>
      </c>
    </row>
    <row r="45" spans="1:10">
      <c r="A45" s="14">
        <v>40</v>
      </c>
      <c r="B45" s="15"/>
      <c r="C45" s="15">
        <v>201182820.45812801</v>
      </c>
      <c r="D45" s="16">
        <v>33.394088669950698</v>
      </c>
      <c r="E45" s="17" t="e">
        <f t="shared" si="1"/>
        <v>#N/A</v>
      </c>
      <c r="H45">
        <v>201014216</v>
      </c>
      <c r="I45">
        <v>1.724</v>
      </c>
      <c r="J45">
        <v>125</v>
      </c>
    </row>
    <row r="46" spans="1:10">
      <c r="A46" s="14">
        <v>41</v>
      </c>
      <c r="B46" s="15"/>
      <c r="C46" s="15">
        <v>201181927.31921199</v>
      </c>
      <c r="D46" s="16">
        <v>33.0926108374384</v>
      </c>
      <c r="E46" s="17" t="e">
        <f t="shared" si="1"/>
        <v>#N/A</v>
      </c>
      <c r="H46">
        <v>201014512</v>
      </c>
      <c r="I46">
        <v>1.153</v>
      </c>
      <c r="J46">
        <v>94</v>
      </c>
    </row>
    <row r="47" spans="1:10">
      <c r="A47" s="14">
        <v>42</v>
      </c>
      <c r="B47" s="15"/>
      <c r="C47" s="15">
        <v>201181034.180296</v>
      </c>
      <c r="D47" s="16">
        <v>32.791133004926103</v>
      </c>
      <c r="E47" s="17" t="e">
        <f t="shared" si="1"/>
        <v>#N/A</v>
      </c>
      <c r="H47">
        <v>201015558</v>
      </c>
      <c r="I47">
        <v>0.622</v>
      </c>
      <c r="J47">
        <v>60</v>
      </c>
    </row>
    <row r="48" spans="1:10">
      <c r="A48" s="14">
        <v>43</v>
      </c>
      <c r="B48" s="15"/>
      <c r="C48" s="15">
        <v>201180141.041379</v>
      </c>
      <c r="D48" s="16">
        <v>32.489655172413798</v>
      </c>
      <c r="E48" s="17" t="e">
        <f t="shared" si="1"/>
        <v>#N/A</v>
      </c>
      <c r="H48">
        <v>201015902</v>
      </c>
      <c r="I48">
        <v>1.069</v>
      </c>
      <c r="J48">
        <v>102</v>
      </c>
    </row>
    <row r="49" spans="1:10">
      <c r="A49" s="14">
        <v>44</v>
      </c>
      <c r="B49" s="15"/>
      <c r="C49" s="15">
        <v>201179247.90246299</v>
      </c>
      <c r="D49" s="16">
        <v>32.188177339901401</v>
      </c>
      <c r="E49" s="17" t="e">
        <f t="shared" si="1"/>
        <v>#N/A</v>
      </c>
      <c r="H49">
        <v>201017698</v>
      </c>
      <c r="I49">
        <v>1.9470000000000001</v>
      </c>
      <c r="J49">
        <v>131</v>
      </c>
    </row>
    <row r="50" spans="1:10">
      <c r="A50" s="14">
        <v>45</v>
      </c>
      <c r="B50" s="15"/>
      <c r="C50" s="15">
        <v>201178354.763547</v>
      </c>
      <c r="D50" s="16">
        <v>31.8866995073891</v>
      </c>
      <c r="E50" s="17" t="e">
        <f t="shared" si="1"/>
        <v>#N/A</v>
      </c>
      <c r="H50">
        <v>201100043</v>
      </c>
      <c r="I50">
        <v>1.88</v>
      </c>
      <c r="J50">
        <v>114</v>
      </c>
    </row>
    <row r="51" spans="1:10">
      <c r="A51" s="14">
        <v>46</v>
      </c>
      <c r="B51" s="15"/>
      <c r="C51" s="15">
        <v>201177461.62463099</v>
      </c>
      <c r="D51" s="16">
        <v>31.585221674876799</v>
      </c>
      <c r="E51" s="17" t="e">
        <f t="shared" si="1"/>
        <v>#N/A</v>
      </c>
      <c r="H51">
        <v>201100132</v>
      </c>
      <c r="I51">
        <v>1.726</v>
      </c>
      <c r="J51">
        <v>112</v>
      </c>
    </row>
    <row r="52" spans="1:10">
      <c r="H52">
        <v>201100342</v>
      </c>
      <c r="I52">
        <v>2.6970000000000001</v>
      </c>
      <c r="J52">
        <v>184</v>
      </c>
    </row>
    <row r="53" spans="1:10">
      <c r="H53">
        <v>201100861</v>
      </c>
      <c r="I53">
        <v>1.0680000000000001</v>
      </c>
      <c r="J53">
        <v>72</v>
      </c>
    </row>
    <row r="54" spans="1:10">
      <c r="H54">
        <v>201101030</v>
      </c>
      <c r="I54">
        <v>1.4</v>
      </c>
      <c r="J54">
        <v>102</v>
      </c>
    </row>
    <row r="55" spans="1:10">
      <c r="H55">
        <v>201101885</v>
      </c>
      <c r="I55">
        <v>1.5</v>
      </c>
      <c r="J55">
        <v>101</v>
      </c>
    </row>
    <row r="56" spans="1:10">
      <c r="H56">
        <v>201102107</v>
      </c>
      <c r="I56">
        <v>1.095</v>
      </c>
      <c r="J56">
        <v>101</v>
      </c>
    </row>
    <row r="57" spans="1:10">
      <c r="H57">
        <v>201103345</v>
      </c>
      <c r="I57">
        <v>0.67300000000000004</v>
      </c>
      <c r="J57">
        <v>20</v>
      </c>
    </row>
    <row r="58" spans="1:10">
      <c r="H58">
        <v>201103358</v>
      </c>
      <c r="I58">
        <v>0.40500000000000003</v>
      </c>
      <c r="J58">
        <v>9</v>
      </c>
    </row>
    <row r="59" spans="1:10">
      <c r="H59">
        <v>201103556</v>
      </c>
      <c r="I59">
        <v>2.7480000000000002</v>
      </c>
      <c r="J59">
        <v>107</v>
      </c>
    </row>
    <row r="60" spans="1:10">
      <c r="H60">
        <v>201103844</v>
      </c>
      <c r="I60">
        <v>2.649</v>
      </c>
      <c r="J60">
        <v>131</v>
      </c>
    </row>
    <row r="61" spans="1:10">
      <c r="H61">
        <v>201104467</v>
      </c>
      <c r="I61">
        <v>2.355</v>
      </c>
      <c r="J61">
        <v>132</v>
      </c>
    </row>
    <row r="62" spans="1:10">
      <c r="H62">
        <v>201104598</v>
      </c>
      <c r="I62">
        <v>1.635</v>
      </c>
      <c r="J62">
        <v>101</v>
      </c>
    </row>
    <row r="63" spans="1:10">
      <c r="H63">
        <v>201105493</v>
      </c>
      <c r="I63">
        <v>1.5669999999999999</v>
      </c>
      <c r="J63">
        <v>116</v>
      </c>
    </row>
    <row r="64" spans="1:10">
      <c r="H64">
        <v>201108653</v>
      </c>
      <c r="I64">
        <v>2.125</v>
      </c>
      <c r="J64">
        <v>114</v>
      </c>
    </row>
    <row r="65" spans="8:10">
      <c r="H65">
        <v>201108713</v>
      </c>
      <c r="I65">
        <v>1.994</v>
      </c>
      <c r="J65">
        <v>75</v>
      </c>
    </row>
    <row r="66" spans="8:10">
      <c r="H66">
        <v>201108987</v>
      </c>
      <c r="I66">
        <v>1.3360000000000001</v>
      </c>
      <c r="J66">
        <v>86</v>
      </c>
    </row>
    <row r="67" spans="8:10">
      <c r="H67">
        <v>201109679</v>
      </c>
      <c r="I67">
        <v>1.927</v>
      </c>
      <c r="J67">
        <v>127</v>
      </c>
    </row>
    <row r="68" spans="8:10">
      <c r="H68">
        <v>201110329</v>
      </c>
      <c r="I68">
        <v>2.7989999999999999</v>
      </c>
      <c r="J68">
        <v>108</v>
      </c>
    </row>
    <row r="69" spans="8:10">
      <c r="H69">
        <v>201110349</v>
      </c>
      <c r="I69">
        <v>0.90400000000000003</v>
      </c>
      <c r="J69">
        <v>102</v>
      </c>
    </row>
    <row r="70" spans="8:10">
      <c r="H70">
        <v>201110383</v>
      </c>
      <c r="I70">
        <v>1.9670000000000001</v>
      </c>
      <c r="J70">
        <v>114</v>
      </c>
    </row>
    <row r="71" spans="8:10">
      <c r="H71">
        <v>201111486</v>
      </c>
      <c r="I71">
        <v>2.782</v>
      </c>
      <c r="J71">
        <v>108</v>
      </c>
    </row>
    <row r="72" spans="8:10">
      <c r="H72">
        <v>201112560</v>
      </c>
      <c r="I72">
        <v>1.3939999999999999</v>
      </c>
      <c r="J72">
        <v>110</v>
      </c>
    </row>
    <row r="73" spans="8:10">
      <c r="H73">
        <v>201112639</v>
      </c>
      <c r="I73">
        <v>1.843</v>
      </c>
      <c r="J73">
        <v>94</v>
      </c>
    </row>
    <row r="74" spans="8:10">
      <c r="H74">
        <v>201112996</v>
      </c>
      <c r="I74">
        <v>3.5089999999999999</v>
      </c>
      <c r="J74">
        <v>108</v>
      </c>
    </row>
    <row r="75" spans="8:10">
      <c r="H75">
        <v>201112998</v>
      </c>
      <c r="I75">
        <v>3.1789999999999998</v>
      </c>
      <c r="J75">
        <v>117</v>
      </c>
    </row>
    <row r="76" spans="8:10">
      <c r="H76">
        <v>201113009</v>
      </c>
      <c r="I76">
        <v>2.0619999999999998</v>
      </c>
      <c r="J76">
        <v>115</v>
      </c>
    </row>
    <row r="77" spans="8:10">
      <c r="H77">
        <v>201113088</v>
      </c>
      <c r="I77">
        <v>2.7050000000000001</v>
      </c>
      <c r="J77">
        <v>101</v>
      </c>
    </row>
    <row r="78" spans="8:10">
      <c r="H78">
        <v>201113094</v>
      </c>
      <c r="I78">
        <v>3.0409999999999999</v>
      </c>
      <c r="J78">
        <v>117</v>
      </c>
    </row>
    <row r="79" spans="8:10">
      <c r="H79">
        <v>201113238</v>
      </c>
      <c r="I79">
        <v>1.5860000000000001</v>
      </c>
      <c r="J79">
        <v>74</v>
      </c>
    </row>
    <row r="80" spans="8:10">
      <c r="H80">
        <v>201200679</v>
      </c>
      <c r="I80">
        <v>3.0630000000000002</v>
      </c>
      <c r="J80">
        <v>112</v>
      </c>
    </row>
    <row r="81" spans="8:10">
      <c r="H81">
        <v>201200689</v>
      </c>
      <c r="I81">
        <v>2.762</v>
      </c>
      <c r="J81">
        <v>107</v>
      </c>
    </row>
    <row r="82" spans="8:10">
      <c r="H82">
        <v>201201250</v>
      </c>
      <c r="I82">
        <v>3.8410000000000002</v>
      </c>
      <c r="J82">
        <v>115</v>
      </c>
    </row>
    <row r="83" spans="8:10">
      <c r="H83">
        <v>201201731</v>
      </c>
      <c r="I83">
        <v>2.548</v>
      </c>
      <c r="J83">
        <v>110</v>
      </c>
    </row>
    <row r="84" spans="8:10">
      <c r="H84">
        <v>201201838</v>
      </c>
      <c r="I84">
        <v>2.7269999999999999</v>
      </c>
      <c r="J84">
        <v>109</v>
      </c>
    </row>
    <row r="85" spans="8:10">
      <c r="H85">
        <v>201201855</v>
      </c>
      <c r="I85">
        <v>2.915</v>
      </c>
      <c r="J85">
        <v>115</v>
      </c>
    </row>
    <row r="86" spans="8:10">
      <c r="H86">
        <v>201202197</v>
      </c>
      <c r="I86">
        <v>3.7810000000000001</v>
      </c>
      <c r="J86">
        <v>106</v>
      </c>
    </row>
    <row r="87" spans="8:10">
      <c r="H87">
        <v>201202472</v>
      </c>
      <c r="I87">
        <v>2.5710000000000002</v>
      </c>
      <c r="J87">
        <v>106</v>
      </c>
    </row>
    <row r="88" spans="8:10">
      <c r="H88">
        <v>201202499</v>
      </c>
      <c r="I88">
        <v>0.86399999999999999</v>
      </c>
      <c r="J88">
        <v>49</v>
      </c>
    </row>
    <row r="89" spans="8:10">
      <c r="H89">
        <v>201202943</v>
      </c>
      <c r="I89">
        <v>3.33</v>
      </c>
      <c r="J89">
        <v>106</v>
      </c>
    </row>
    <row r="90" spans="8:10">
      <c r="H90">
        <v>201203147</v>
      </c>
      <c r="I90">
        <v>3.04</v>
      </c>
      <c r="J90">
        <v>106</v>
      </c>
    </row>
    <row r="91" spans="8:10">
      <c r="H91">
        <v>201204018</v>
      </c>
      <c r="I91">
        <v>2.5219999999999998</v>
      </c>
      <c r="J91">
        <v>109</v>
      </c>
    </row>
    <row r="92" spans="8:10">
      <c r="H92">
        <v>201204084</v>
      </c>
      <c r="I92">
        <v>2.3279999999999998</v>
      </c>
      <c r="J92">
        <v>103</v>
      </c>
    </row>
    <row r="93" spans="8:10">
      <c r="H93">
        <v>201204154</v>
      </c>
      <c r="I93">
        <v>3.7189999999999999</v>
      </c>
      <c r="J93">
        <v>113</v>
      </c>
    </row>
    <row r="94" spans="8:10">
      <c r="H94">
        <v>201204657</v>
      </c>
      <c r="I94">
        <v>2.157</v>
      </c>
      <c r="J94">
        <v>107</v>
      </c>
    </row>
    <row r="95" spans="8:10">
      <c r="H95">
        <v>201204760</v>
      </c>
      <c r="I95">
        <v>2.2890000000000001</v>
      </c>
      <c r="J95">
        <v>105</v>
      </c>
    </row>
    <row r="96" spans="8:10">
      <c r="H96">
        <v>201205185</v>
      </c>
      <c r="I96">
        <v>2.7149999999999999</v>
      </c>
      <c r="J96">
        <v>106</v>
      </c>
    </row>
    <row r="97" spans="8:10">
      <c r="H97">
        <v>201205247</v>
      </c>
      <c r="I97">
        <v>2.4710000000000001</v>
      </c>
      <c r="J97">
        <v>112</v>
      </c>
    </row>
    <row r="98" spans="8:10">
      <c r="H98">
        <v>201206299</v>
      </c>
      <c r="I98">
        <v>2.1040000000000001</v>
      </c>
      <c r="J98">
        <v>106</v>
      </c>
    </row>
    <row r="99" spans="8:10">
      <c r="H99">
        <v>201206403</v>
      </c>
      <c r="I99">
        <v>2.7770000000000001</v>
      </c>
      <c r="J99">
        <v>112</v>
      </c>
    </row>
    <row r="100" spans="8:10">
      <c r="H100">
        <v>201206477</v>
      </c>
      <c r="I100">
        <v>2.5289999999999999</v>
      </c>
      <c r="J100">
        <v>112</v>
      </c>
    </row>
    <row r="101" spans="8:10">
      <c r="H101">
        <v>201206588</v>
      </c>
      <c r="I101">
        <v>2.0990000000000002</v>
      </c>
      <c r="J101">
        <v>109</v>
      </c>
    </row>
    <row r="102" spans="8:10">
      <c r="H102">
        <v>201206764</v>
      </c>
      <c r="I102">
        <v>2.4740000000000002</v>
      </c>
      <c r="J102">
        <v>106</v>
      </c>
    </row>
    <row r="103" spans="8:10">
      <c r="H103">
        <v>201206915</v>
      </c>
      <c r="I103">
        <v>2.2970000000000002</v>
      </c>
      <c r="J103">
        <v>91</v>
      </c>
    </row>
    <row r="104" spans="8:10">
      <c r="H104">
        <v>201207194</v>
      </c>
      <c r="I104">
        <v>3.1749999999999998</v>
      </c>
      <c r="J104">
        <v>106</v>
      </c>
    </row>
    <row r="105" spans="8:10">
      <c r="H105">
        <v>201207538</v>
      </c>
      <c r="I105">
        <v>2.9340000000000002</v>
      </c>
      <c r="J105">
        <v>106</v>
      </c>
    </row>
    <row r="106" spans="8:10">
      <c r="H106">
        <v>201207894</v>
      </c>
      <c r="I106">
        <v>2.8319999999999999</v>
      </c>
      <c r="J106">
        <v>110</v>
      </c>
    </row>
    <row r="107" spans="8:10">
      <c r="H107">
        <v>201208709</v>
      </c>
      <c r="I107">
        <v>2.2709999999999999</v>
      </c>
      <c r="J107">
        <v>100</v>
      </c>
    </row>
    <row r="108" spans="8:10">
      <c r="H108">
        <v>201210056</v>
      </c>
      <c r="I108">
        <v>2.3740000000000001</v>
      </c>
      <c r="J108">
        <v>108</v>
      </c>
    </row>
    <row r="109" spans="8:10">
      <c r="H109">
        <v>201210215</v>
      </c>
      <c r="I109">
        <v>2.8820000000000001</v>
      </c>
      <c r="J109">
        <v>112</v>
      </c>
    </row>
    <row r="110" spans="8:10">
      <c r="H110">
        <v>201210423</v>
      </c>
      <c r="I110">
        <v>3.512</v>
      </c>
      <c r="J110">
        <v>106</v>
      </c>
    </row>
    <row r="111" spans="8:10">
      <c r="H111">
        <v>201210960</v>
      </c>
      <c r="I111">
        <v>2.33</v>
      </c>
      <c r="J111">
        <v>112</v>
      </c>
    </row>
    <row r="112" spans="8:10">
      <c r="H112">
        <v>201212531</v>
      </c>
      <c r="I112">
        <v>2.698</v>
      </c>
      <c r="J112">
        <v>112</v>
      </c>
    </row>
    <row r="113" spans="8:10">
      <c r="H113">
        <v>201212806</v>
      </c>
      <c r="I113">
        <v>2.742</v>
      </c>
      <c r="J113">
        <v>97</v>
      </c>
    </row>
    <row r="114" spans="8:10">
      <c r="H114">
        <v>201213054</v>
      </c>
      <c r="I114">
        <v>2.5019999999999998</v>
      </c>
      <c r="J114">
        <v>106</v>
      </c>
    </row>
    <row r="115" spans="8:10">
      <c r="H115">
        <v>201213813</v>
      </c>
      <c r="I115">
        <v>2.9540000000000002</v>
      </c>
      <c r="J115">
        <v>108</v>
      </c>
    </row>
    <row r="116" spans="8:10">
      <c r="H116">
        <v>201213814</v>
      </c>
      <c r="I116">
        <v>2.2589999999999999</v>
      </c>
      <c r="J116">
        <v>104</v>
      </c>
    </row>
    <row r="117" spans="8:10">
      <c r="H117">
        <v>201213822</v>
      </c>
      <c r="I117">
        <v>2.6829999999999998</v>
      </c>
      <c r="J117">
        <v>112</v>
      </c>
    </row>
    <row r="118" spans="8:10">
      <c r="H118">
        <v>201214023</v>
      </c>
      <c r="I118">
        <v>1.843</v>
      </c>
      <c r="J118">
        <v>86</v>
      </c>
    </row>
    <row r="119" spans="8:10">
      <c r="H119">
        <v>201214389</v>
      </c>
      <c r="I119">
        <v>2.2549999999999999</v>
      </c>
      <c r="J119">
        <v>88</v>
      </c>
    </row>
    <row r="120" spans="8:10">
      <c r="H120">
        <v>201214561</v>
      </c>
      <c r="I120">
        <v>2.585</v>
      </c>
      <c r="J120">
        <v>109</v>
      </c>
    </row>
    <row r="121" spans="8:10">
      <c r="H121">
        <v>201215491</v>
      </c>
      <c r="I121">
        <v>2.86</v>
      </c>
      <c r="J121">
        <v>105</v>
      </c>
    </row>
    <row r="122" spans="8:10">
      <c r="H122">
        <v>201215501</v>
      </c>
      <c r="I122">
        <v>3.7210000000000001</v>
      </c>
      <c r="J122">
        <v>111</v>
      </c>
    </row>
    <row r="123" spans="8:10">
      <c r="H123">
        <v>201215576</v>
      </c>
      <c r="I123">
        <v>2.8159999999999998</v>
      </c>
      <c r="J123">
        <v>115</v>
      </c>
    </row>
    <row r="124" spans="8:10">
      <c r="H124">
        <v>201215579</v>
      </c>
      <c r="I124">
        <v>3.65</v>
      </c>
      <c r="J124">
        <v>90</v>
      </c>
    </row>
    <row r="125" spans="8:10">
      <c r="H125">
        <v>201215587</v>
      </c>
      <c r="I125">
        <v>3.54</v>
      </c>
      <c r="J125">
        <v>88</v>
      </c>
    </row>
    <row r="126" spans="8:10">
      <c r="H126">
        <v>201215589</v>
      </c>
      <c r="I126">
        <v>1.9730000000000001</v>
      </c>
      <c r="J126">
        <v>101</v>
      </c>
    </row>
    <row r="127" spans="8:10">
      <c r="H127">
        <v>201215596</v>
      </c>
      <c r="I127">
        <v>3.2320000000000002</v>
      </c>
      <c r="J127">
        <v>111</v>
      </c>
    </row>
    <row r="128" spans="8:10">
      <c r="H128">
        <v>201215604</v>
      </c>
      <c r="I128">
        <v>1.5169999999999999</v>
      </c>
      <c r="J128">
        <v>62</v>
      </c>
    </row>
    <row r="129" spans="8:10">
      <c r="H129">
        <v>201215615</v>
      </c>
      <c r="I129">
        <v>3.5790000000000002</v>
      </c>
      <c r="J129">
        <v>89</v>
      </c>
    </row>
    <row r="130" spans="8:10">
      <c r="H130">
        <v>201215618</v>
      </c>
      <c r="I130">
        <v>3.8780000000000001</v>
      </c>
      <c r="J130">
        <v>111</v>
      </c>
    </row>
    <row r="131" spans="8:10">
      <c r="H131">
        <v>201215646</v>
      </c>
      <c r="I131">
        <v>1.885</v>
      </c>
      <c r="J131">
        <v>78</v>
      </c>
    </row>
    <row r="132" spans="8:10">
      <c r="H132">
        <v>201215672</v>
      </c>
      <c r="I132">
        <v>3.4220000000000002</v>
      </c>
      <c r="J132">
        <v>106</v>
      </c>
    </row>
    <row r="133" spans="8:10">
      <c r="H133">
        <v>201215723</v>
      </c>
      <c r="I133">
        <v>3.569</v>
      </c>
      <c r="J133">
        <v>112</v>
      </c>
    </row>
    <row r="134" spans="8:10">
      <c r="H134">
        <v>201215724</v>
      </c>
      <c r="I134">
        <v>1.554</v>
      </c>
      <c r="J134">
        <v>34</v>
      </c>
    </row>
    <row r="135" spans="8:10">
      <c r="H135">
        <v>201215727</v>
      </c>
      <c r="I135">
        <v>3.1629999999999998</v>
      </c>
      <c r="J135">
        <v>112</v>
      </c>
    </row>
    <row r="136" spans="8:10">
      <c r="H136">
        <v>201215742</v>
      </c>
      <c r="I136">
        <v>1.853</v>
      </c>
      <c r="J136">
        <v>103</v>
      </c>
    </row>
    <row r="137" spans="8:10">
      <c r="H137">
        <v>201215760</v>
      </c>
      <c r="I137">
        <v>1.556</v>
      </c>
      <c r="J137">
        <v>82</v>
      </c>
    </row>
    <row r="138" spans="8:10">
      <c r="H138">
        <v>201215761</v>
      </c>
      <c r="I138">
        <v>1.786</v>
      </c>
      <c r="J138">
        <v>104</v>
      </c>
    </row>
    <row r="139" spans="8:10">
      <c r="H139">
        <v>201215768</v>
      </c>
      <c r="I139">
        <v>2.8319999999999999</v>
      </c>
      <c r="J139">
        <v>113</v>
      </c>
    </row>
    <row r="140" spans="8:10">
      <c r="H140">
        <v>201215815</v>
      </c>
      <c r="I140">
        <v>3.42</v>
      </c>
      <c r="J140">
        <v>109</v>
      </c>
    </row>
    <row r="141" spans="8:10">
      <c r="H141">
        <v>201215817</v>
      </c>
      <c r="I141">
        <v>3.3220000000000001</v>
      </c>
      <c r="J141">
        <v>108</v>
      </c>
    </row>
    <row r="142" spans="8:10">
      <c r="H142">
        <v>201215824</v>
      </c>
      <c r="I142">
        <v>3.4249999999999998</v>
      </c>
      <c r="J142">
        <v>104</v>
      </c>
    </row>
    <row r="143" spans="8:10">
      <c r="H143">
        <v>201215833</v>
      </c>
      <c r="I143">
        <v>2.7</v>
      </c>
      <c r="J143">
        <v>94</v>
      </c>
    </row>
    <row r="144" spans="8:10">
      <c r="H144">
        <v>201300322</v>
      </c>
      <c r="I144">
        <v>1.76</v>
      </c>
      <c r="J144">
        <v>67</v>
      </c>
    </row>
    <row r="145" spans="8:10">
      <c r="H145">
        <v>201300456</v>
      </c>
      <c r="I145">
        <v>1.716</v>
      </c>
      <c r="J145">
        <v>70</v>
      </c>
    </row>
    <row r="146" spans="8:10">
      <c r="H146">
        <v>201300755</v>
      </c>
      <c r="I146">
        <v>1.512</v>
      </c>
      <c r="J146">
        <v>28</v>
      </c>
    </row>
    <row r="147" spans="8:10">
      <c r="H147">
        <v>201301712</v>
      </c>
      <c r="I147">
        <v>3.2650000000000001</v>
      </c>
      <c r="J147">
        <v>78</v>
      </c>
    </row>
    <row r="148" spans="8:10">
      <c r="H148">
        <v>201301810</v>
      </c>
      <c r="I148">
        <v>2.1070000000000002</v>
      </c>
      <c r="J148">
        <v>61</v>
      </c>
    </row>
    <row r="149" spans="8:10">
      <c r="H149">
        <v>201301939</v>
      </c>
      <c r="I149">
        <v>2.1509999999999998</v>
      </c>
      <c r="J149">
        <v>71</v>
      </c>
    </row>
    <row r="150" spans="8:10">
      <c r="H150">
        <v>201303331</v>
      </c>
      <c r="I150">
        <v>2.093</v>
      </c>
      <c r="J150">
        <v>54</v>
      </c>
    </row>
    <row r="151" spans="8:10">
      <c r="H151">
        <v>201303454</v>
      </c>
      <c r="I151">
        <v>2.661</v>
      </c>
      <c r="J151">
        <v>73</v>
      </c>
    </row>
    <row r="152" spans="8:10">
      <c r="H152">
        <v>201304447</v>
      </c>
      <c r="I152">
        <v>2.6469999999999998</v>
      </c>
      <c r="J152">
        <v>75</v>
      </c>
    </row>
    <row r="153" spans="8:10">
      <c r="H153">
        <v>201305202</v>
      </c>
      <c r="I153">
        <v>2.2330000000000001</v>
      </c>
      <c r="J153">
        <v>72</v>
      </c>
    </row>
    <row r="154" spans="8:10">
      <c r="H154">
        <v>201305960</v>
      </c>
      <c r="I154">
        <v>2.246</v>
      </c>
      <c r="J154">
        <v>70</v>
      </c>
    </row>
    <row r="155" spans="8:10">
      <c r="H155">
        <v>201306382</v>
      </c>
      <c r="I155">
        <v>3.5209999999999999</v>
      </c>
      <c r="J155">
        <v>71</v>
      </c>
    </row>
    <row r="156" spans="8:10">
      <c r="H156">
        <v>201306383</v>
      </c>
      <c r="I156">
        <v>2.5419999999999998</v>
      </c>
      <c r="J156">
        <v>71</v>
      </c>
    </row>
    <row r="157" spans="8:10">
      <c r="H157">
        <v>201307250</v>
      </c>
      <c r="I157">
        <v>1.681</v>
      </c>
      <c r="J157">
        <v>55</v>
      </c>
    </row>
    <row r="158" spans="8:10">
      <c r="H158">
        <v>201307479</v>
      </c>
      <c r="I158">
        <v>2.9249999999999998</v>
      </c>
      <c r="J158">
        <v>73</v>
      </c>
    </row>
    <row r="159" spans="8:10">
      <c r="H159">
        <v>201307659</v>
      </c>
      <c r="I159">
        <v>1.387</v>
      </c>
      <c r="J159">
        <v>61</v>
      </c>
    </row>
    <row r="160" spans="8:10">
      <c r="H160">
        <v>201308437</v>
      </c>
      <c r="I160">
        <v>1.833</v>
      </c>
      <c r="J160">
        <v>78</v>
      </c>
    </row>
    <row r="161" spans="8:10">
      <c r="H161">
        <v>201308929</v>
      </c>
      <c r="I161">
        <v>2.6419999999999999</v>
      </c>
      <c r="J161">
        <v>72</v>
      </c>
    </row>
    <row r="162" spans="8:10">
      <c r="H162">
        <v>201308930</v>
      </c>
      <c r="I162">
        <v>2.294</v>
      </c>
      <c r="J162">
        <v>72</v>
      </c>
    </row>
    <row r="163" spans="8:10">
      <c r="H163">
        <v>201309014</v>
      </c>
      <c r="I163">
        <v>2.3029999999999999</v>
      </c>
      <c r="J163">
        <v>72</v>
      </c>
    </row>
    <row r="164" spans="8:10">
      <c r="H164">
        <v>201309897</v>
      </c>
      <c r="I164">
        <v>2.1480000000000001</v>
      </c>
      <c r="J164">
        <v>64</v>
      </c>
    </row>
    <row r="165" spans="8:10">
      <c r="H165">
        <v>201310294</v>
      </c>
      <c r="I165">
        <v>2.0030000000000001</v>
      </c>
      <c r="J165">
        <v>76</v>
      </c>
    </row>
    <row r="166" spans="8:10">
      <c r="H166">
        <v>201310916</v>
      </c>
      <c r="I166">
        <v>1.762</v>
      </c>
      <c r="J166">
        <v>44</v>
      </c>
    </row>
    <row r="167" spans="8:10">
      <c r="H167">
        <v>201311320</v>
      </c>
      <c r="I167">
        <v>2.2120000000000002</v>
      </c>
      <c r="J167">
        <v>78</v>
      </c>
    </row>
    <row r="168" spans="8:10">
      <c r="H168">
        <v>201311417</v>
      </c>
      <c r="I168">
        <v>2.3490000000000002</v>
      </c>
      <c r="J168">
        <v>73</v>
      </c>
    </row>
    <row r="169" spans="8:10">
      <c r="H169">
        <v>201311673</v>
      </c>
      <c r="I169">
        <v>1.9490000000000001</v>
      </c>
      <c r="J169">
        <v>66</v>
      </c>
    </row>
    <row r="170" spans="8:10">
      <c r="H170">
        <v>201311701</v>
      </c>
      <c r="I170">
        <v>2.5739999999999998</v>
      </c>
      <c r="J170">
        <v>64</v>
      </c>
    </row>
    <row r="171" spans="8:10">
      <c r="H171">
        <v>201312135</v>
      </c>
      <c r="I171">
        <v>2.831</v>
      </c>
      <c r="J171">
        <v>68</v>
      </c>
    </row>
    <row r="172" spans="8:10">
      <c r="H172">
        <v>201312552</v>
      </c>
      <c r="I172">
        <v>3.1680000000000001</v>
      </c>
      <c r="J172">
        <v>73</v>
      </c>
    </row>
    <row r="173" spans="8:10">
      <c r="H173">
        <v>201312841</v>
      </c>
      <c r="I173">
        <v>1.8879999999999999</v>
      </c>
      <c r="J173">
        <v>37</v>
      </c>
    </row>
    <row r="174" spans="8:10">
      <c r="H174">
        <v>201312901</v>
      </c>
      <c r="I174">
        <v>2.2429999999999999</v>
      </c>
      <c r="J174">
        <v>73</v>
      </c>
    </row>
    <row r="175" spans="8:10">
      <c r="H175">
        <v>201313833</v>
      </c>
      <c r="I175">
        <v>2.6680000000000001</v>
      </c>
      <c r="J175">
        <v>73</v>
      </c>
    </row>
    <row r="176" spans="8:10">
      <c r="H176">
        <v>201314236</v>
      </c>
      <c r="I176">
        <v>1.6359999999999999</v>
      </c>
      <c r="J176">
        <v>55</v>
      </c>
    </row>
    <row r="177" spans="8:10">
      <c r="H177">
        <v>201314263</v>
      </c>
      <c r="I177">
        <v>1.8129999999999999</v>
      </c>
      <c r="J177">
        <v>60</v>
      </c>
    </row>
    <row r="178" spans="8:10">
      <c r="H178">
        <v>201314376</v>
      </c>
      <c r="I178">
        <v>2.6760000000000002</v>
      </c>
      <c r="J178">
        <v>71</v>
      </c>
    </row>
    <row r="179" spans="8:10">
      <c r="H179">
        <v>201315136</v>
      </c>
      <c r="I179">
        <v>2.4460000000000002</v>
      </c>
      <c r="J179">
        <v>56</v>
      </c>
    </row>
    <row r="180" spans="8:10">
      <c r="H180">
        <v>201315671</v>
      </c>
      <c r="I180">
        <v>2.7120000000000002</v>
      </c>
      <c r="J180">
        <v>59</v>
      </c>
    </row>
    <row r="181" spans="8:10">
      <c r="H181">
        <v>201315702</v>
      </c>
      <c r="I181">
        <v>2.6469999999999998</v>
      </c>
      <c r="J181">
        <v>63</v>
      </c>
    </row>
    <row r="182" spans="8:10">
      <c r="H182">
        <v>201315775</v>
      </c>
      <c r="I182">
        <v>3.1949999999999998</v>
      </c>
      <c r="J182">
        <v>73</v>
      </c>
    </row>
    <row r="183" spans="8:10">
      <c r="H183">
        <v>201315833</v>
      </c>
      <c r="I183">
        <v>2.6520000000000001</v>
      </c>
      <c r="J183">
        <v>108</v>
      </c>
    </row>
    <row r="184" spans="8:10">
      <c r="H184">
        <v>201316327</v>
      </c>
      <c r="I184">
        <v>3.5070000000000001</v>
      </c>
      <c r="J184">
        <v>35</v>
      </c>
    </row>
    <row r="185" spans="8:10">
      <c r="H185">
        <v>201316347</v>
      </c>
      <c r="I185">
        <v>2.5379999999999998</v>
      </c>
      <c r="J185">
        <v>33</v>
      </c>
    </row>
    <row r="186" spans="8:10">
      <c r="H186">
        <v>201316351</v>
      </c>
      <c r="I186">
        <v>3.5609999999999999</v>
      </c>
      <c r="J186">
        <v>37</v>
      </c>
    </row>
    <row r="187" spans="8:10">
      <c r="H187">
        <v>201316361</v>
      </c>
      <c r="I187">
        <v>3.1880000000000002</v>
      </c>
      <c r="J187">
        <v>56</v>
      </c>
    </row>
    <row r="188" spans="8:10">
      <c r="H188">
        <v>201316364</v>
      </c>
      <c r="I188">
        <v>3.7730000000000001</v>
      </c>
      <c r="J188">
        <v>82</v>
      </c>
    </row>
    <row r="189" spans="8:10">
      <c r="H189">
        <v>201316373</v>
      </c>
      <c r="I189">
        <v>3.13</v>
      </c>
      <c r="J189">
        <v>54</v>
      </c>
    </row>
    <row r="190" spans="8:10">
      <c r="H190">
        <v>201316390</v>
      </c>
      <c r="I190">
        <v>3.1840000000000002</v>
      </c>
      <c r="J190">
        <v>53</v>
      </c>
    </row>
    <row r="191" spans="8:10">
      <c r="H191">
        <v>201316393</v>
      </c>
      <c r="I191">
        <v>2.4279999999999999</v>
      </c>
      <c r="J191">
        <v>35</v>
      </c>
    </row>
    <row r="192" spans="8:10">
      <c r="H192">
        <v>201316396</v>
      </c>
      <c r="I192">
        <v>3.3559999999999999</v>
      </c>
      <c r="J192">
        <v>33</v>
      </c>
    </row>
    <row r="193" spans="8:10">
      <c r="H193">
        <v>201316413</v>
      </c>
      <c r="I193">
        <v>1.591</v>
      </c>
      <c r="J193">
        <v>33</v>
      </c>
    </row>
    <row r="194" spans="8:10">
      <c r="H194">
        <v>201316414</v>
      </c>
      <c r="I194">
        <v>3.621</v>
      </c>
      <c r="J194">
        <v>56</v>
      </c>
    </row>
    <row r="195" spans="8:10">
      <c r="H195">
        <v>201316426</v>
      </c>
      <c r="I195">
        <v>1.712</v>
      </c>
      <c r="J195">
        <v>25</v>
      </c>
    </row>
    <row r="196" spans="8:10">
      <c r="H196">
        <v>201316427</v>
      </c>
      <c r="I196">
        <v>1.6559999999999999</v>
      </c>
      <c r="J196">
        <v>28</v>
      </c>
    </row>
    <row r="197" spans="8:10">
      <c r="H197">
        <v>201316465</v>
      </c>
      <c r="I197">
        <v>3.4670000000000001</v>
      </c>
      <c r="J197">
        <v>53</v>
      </c>
    </row>
    <row r="198" spans="8:10">
      <c r="H198">
        <v>201316467</v>
      </c>
      <c r="I198">
        <v>2.5</v>
      </c>
      <c r="J198">
        <v>34</v>
      </c>
    </row>
    <row r="199" spans="8:10">
      <c r="H199">
        <v>201316553</v>
      </c>
      <c r="I199">
        <v>3.2930000000000001</v>
      </c>
      <c r="J199">
        <v>87</v>
      </c>
    </row>
    <row r="200" spans="8:10">
      <c r="H200">
        <v>201400731</v>
      </c>
      <c r="I200">
        <v>3.25</v>
      </c>
      <c r="J200">
        <v>35</v>
      </c>
    </row>
    <row r="201" spans="8:10">
      <c r="H201">
        <v>201402062</v>
      </c>
      <c r="I201">
        <v>2.3260000000000001</v>
      </c>
      <c r="J201">
        <v>35</v>
      </c>
    </row>
    <row r="202" spans="8:10">
      <c r="H202">
        <v>201403377</v>
      </c>
      <c r="I202">
        <v>2.4529999999999998</v>
      </c>
      <c r="J202">
        <v>33</v>
      </c>
    </row>
    <row r="203" spans="8:10">
      <c r="H203">
        <v>201404833</v>
      </c>
      <c r="I203">
        <v>3.649</v>
      </c>
      <c r="J203">
        <v>37</v>
      </c>
    </row>
    <row r="204" spans="8:10">
      <c r="H204">
        <v>201405095</v>
      </c>
      <c r="I204">
        <v>3</v>
      </c>
      <c r="J204">
        <v>1</v>
      </c>
    </row>
    <row r="205" spans="8:10">
      <c r="H205">
        <v>201405487</v>
      </c>
      <c r="I205">
        <v>2.1960000000000002</v>
      </c>
      <c r="J205">
        <v>35</v>
      </c>
    </row>
    <row r="206" spans="8:10">
      <c r="H206">
        <v>201406193</v>
      </c>
      <c r="I206">
        <v>2.6190000000000002</v>
      </c>
      <c r="J206">
        <v>21</v>
      </c>
    </row>
    <row r="207" spans="8:10">
      <c r="H207">
        <v>201406678</v>
      </c>
      <c r="I207">
        <v>2.0979999999999999</v>
      </c>
      <c r="J207">
        <v>33</v>
      </c>
    </row>
    <row r="208" spans="8:10">
      <c r="H208">
        <v>201406704</v>
      </c>
      <c r="I208">
        <v>2.2789999999999999</v>
      </c>
      <c r="J208">
        <v>35</v>
      </c>
    </row>
    <row r="209" spans="8:10">
      <c r="H209">
        <v>201406870</v>
      </c>
      <c r="I209">
        <v>2.7029999999999998</v>
      </c>
      <c r="J209">
        <v>37</v>
      </c>
    </row>
    <row r="210" spans="8:10">
      <c r="H210">
        <v>201407038</v>
      </c>
      <c r="I210">
        <v>2.8479999999999999</v>
      </c>
      <c r="J210">
        <v>33</v>
      </c>
    </row>
    <row r="211" spans="8:10">
      <c r="H211">
        <v>201407566</v>
      </c>
      <c r="I211">
        <v>2.4660000000000002</v>
      </c>
      <c r="J211">
        <v>37</v>
      </c>
    </row>
    <row r="212" spans="8:10">
      <c r="H212">
        <v>201408010</v>
      </c>
      <c r="I212">
        <v>3.0609999999999999</v>
      </c>
      <c r="J212">
        <v>37</v>
      </c>
    </row>
    <row r="213" spans="8:10">
      <c r="H213">
        <v>201409000</v>
      </c>
      <c r="I213">
        <v>2.274</v>
      </c>
      <c r="J213">
        <v>31</v>
      </c>
    </row>
    <row r="214" spans="8:10">
      <c r="H214">
        <v>201409092</v>
      </c>
      <c r="I214">
        <v>3.2360000000000002</v>
      </c>
      <c r="J214">
        <v>37</v>
      </c>
    </row>
    <row r="215" spans="8:10">
      <c r="H215">
        <v>201409449</v>
      </c>
      <c r="I215">
        <v>2.8570000000000002</v>
      </c>
      <c r="J215">
        <v>35</v>
      </c>
    </row>
    <row r="216" spans="8:10">
      <c r="H216">
        <v>201409771</v>
      </c>
      <c r="I216">
        <v>2.65</v>
      </c>
      <c r="J216">
        <v>35</v>
      </c>
    </row>
    <row r="217" spans="8:10">
      <c r="H217">
        <v>201409841</v>
      </c>
      <c r="I217">
        <v>2.6139999999999999</v>
      </c>
      <c r="J217">
        <v>35</v>
      </c>
    </row>
    <row r="218" spans="8:10">
      <c r="H218">
        <v>201410684</v>
      </c>
      <c r="I218">
        <v>3.5</v>
      </c>
      <c r="J218">
        <v>35</v>
      </c>
    </row>
    <row r="219" spans="8:10">
      <c r="H219">
        <v>201411143</v>
      </c>
      <c r="I219">
        <v>2.073</v>
      </c>
      <c r="J219">
        <v>31</v>
      </c>
    </row>
    <row r="220" spans="8:10">
      <c r="H220">
        <v>201411315</v>
      </c>
      <c r="I220">
        <v>1.214</v>
      </c>
      <c r="J220">
        <v>24</v>
      </c>
    </row>
    <row r="221" spans="8:10">
      <c r="H221">
        <v>201411630</v>
      </c>
      <c r="I221">
        <v>2.8820000000000001</v>
      </c>
      <c r="J221">
        <v>17</v>
      </c>
    </row>
    <row r="222" spans="8:10">
      <c r="H222">
        <v>201411863</v>
      </c>
      <c r="I222">
        <v>2.1469999999999998</v>
      </c>
      <c r="J222">
        <v>34</v>
      </c>
    </row>
    <row r="223" spans="8:10">
      <c r="H223">
        <v>201412206</v>
      </c>
      <c r="I223">
        <v>3.1040000000000001</v>
      </c>
      <c r="J223">
        <v>12</v>
      </c>
    </row>
    <row r="224" spans="8:10">
      <c r="H224">
        <v>201412754</v>
      </c>
      <c r="I224">
        <v>1</v>
      </c>
      <c r="J224">
        <v>6</v>
      </c>
    </row>
    <row r="225" spans="8:10">
      <c r="H225">
        <v>201412916</v>
      </c>
      <c r="I225">
        <v>2.5190000000000001</v>
      </c>
      <c r="J225">
        <v>35</v>
      </c>
    </row>
    <row r="226" spans="8:10">
      <c r="H226">
        <v>201413184</v>
      </c>
      <c r="I226">
        <v>3.52</v>
      </c>
      <c r="J226">
        <v>37</v>
      </c>
    </row>
    <row r="227" spans="8:10">
      <c r="H227">
        <v>201413281</v>
      </c>
      <c r="I227">
        <v>1.9770000000000001</v>
      </c>
      <c r="J227">
        <v>25</v>
      </c>
    </row>
    <row r="228" spans="8:10">
      <c r="H228">
        <v>201413410</v>
      </c>
      <c r="I228">
        <v>2.8180000000000001</v>
      </c>
      <c r="J228">
        <v>37</v>
      </c>
    </row>
    <row r="229" spans="8:10">
      <c r="H229">
        <v>201413427</v>
      </c>
      <c r="I229">
        <v>2.8580000000000001</v>
      </c>
      <c r="J229">
        <v>37</v>
      </c>
    </row>
    <row r="230" spans="8:10">
      <c r="H230">
        <v>201414410</v>
      </c>
      <c r="I230">
        <v>2.472</v>
      </c>
      <c r="J230">
        <v>18</v>
      </c>
    </row>
    <row r="231" spans="8:10">
      <c r="H231">
        <v>201414421</v>
      </c>
      <c r="I231">
        <v>2.403</v>
      </c>
      <c r="J231">
        <v>18</v>
      </c>
    </row>
    <row r="232" spans="8:10">
      <c r="H232">
        <v>201414431</v>
      </c>
      <c r="I232">
        <v>3.8889999999999998</v>
      </c>
      <c r="J232">
        <v>18</v>
      </c>
    </row>
    <row r="233" spans="8:10">
      <c r="H233">
        <v>201414439</v>
      </c>
      <c r="I233">
        <v>2.8610000000000002</v>
      </c>
      <c r="J233">
        <v>18</v>
      </c>
    </row>
    <row r="234" spans="8:10">
      <c r="H234">
        <v>201414446</v>
      </c>
      <c r="I234">
        <v>1.929</v>
      </c>
      <c r="J234">
        <v>14</v>
      </c>
    </row>
    <row r="235" spans="8:10">
      <c r="H235">
        <v>201414448</v>
      </c>
      <c r="I235">
        <v>3.528</v>
      </c>
      <c r="J235">
        <v>18</v>
      </c>
    </row>
    <row r="236" spans="8:10">
      <c r="H236">
        <v>201414455</v>
      </c>
      <c r="I236">
        <v>3.4</v>
      </c>
      <c r="J236">
        <v>15</v>
      </c>
    </row>
    <row r="237" spans="8:10">
      <c r="H237">
        <v>201414459</v>
      </c>
      <c r="I237">
        <v>2.0830000000000002</v>
      </c>
      <c r="J237">
        <v>18</v>
      </c>
    </row>
    <row r="238" spans="8:10">
      <c r="H238">
        <v>201414469</v>
      </c>
      <c r="I238">
        <v>3.528</v>
      </c>
      <c r="J238">
        <v>18</v>
      </c>
    </row>
    <row r="239" spans="8:10">
      <c r="H239">
        <v>201414475</v>
      </c>
      <c r="I239">
        <v>3.694</v>
      </c>
      <c r="J239">
        <v>18</v>
      </c>
    </row>
    <row r="240" spans="8:10">
      <c r="H240">
        <v>201414476</v>
      </c>
      <c r="I240">
        <v>3.194</v>
      </c>
      <c r="J240">
        <v>18</v>
      </c>
    </row>
    <row r="241" spans="8:10">
      <c r="H241">
        <v>201414500</v>
      </c>
      <c r="I241">
        <v>2.694</v>
      </c>
      <c r="J241">
        <v>18</v>
      </c>
    </row>
    <row r="242" spans="8:10">
      <c r="H242">
        <v>201414538</v>
      </c>
      <c r="I242">
        <v>3.681</v>
      </c>
      <c r="J242">
        <v>18</v>
      </c>
    </row>
    <row r="243" spans="8:10">
      <c r="H243">
        <v>201514193</v>
      </c>
      <c r="I243">
        <v>3.6040000000000001</v>
      </c>
      <c r="J243">
        <v>50</v>
      </c>
    </row>
  </sheetData>
  <sortState ref="A4:E32">
    <sortCondition ref="C4:C32"/>
  </sortState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774"/>
  <sheetViews>
    <sheetView topLeftCell="A16" workbookViewId="0">
      <selection activeCell="D16" sqref="D16"/>
    </sheetView>
  </sheetViews>
  <sheetFormatPr defaultRowHeight="15"/>
  <cols>
    <col min="1" max="1" width="16.42578125" style="5" customWidth="1"/>
    <col min="2" max="2" width="9.85546875" style="79" customWidth="1"/>
    <col min="3" max="3" width="16.85546875" style="5" customWidth="1"/>
    <col min="4" max="4" width="10.5703125" customWidth="1"/>
    <col min="5" max="5" width="10.28515625" customWidth="1"/>
    <col min="6" max="6" width="10.42578125" customWidth="1"/>
    <col min="7" max="7" width="10.7109375" style="5" customWidth="1"/>
    <col min="8" max="8" width="11.140625" style="5" customWidth="1"/>
    <col min="9" max="11" width="9.140625" style="5" customWidth="1"/>
    <col min="12" max="12" width="9.28515625" style="5" customWidth="1"/>
    <col min="13" max="17" width="9.140625" style="5" customWidth="1"/>
    <col min="18" max="18" width="9.140625" style="166" customWidth="1"/>
    <col min="19" max="25" width="9.140625" style="5" customWidth="1"/>
    <col min="26" max="26" width="9.140625" style="166" customWidth="1"/>
    <col min="27" max="27" width="9.140625" style="5" customWidth="1"/>
    <col min="28" max="28" width="9.140625" style="166" customWidth="1"/>
    <col min="29" max="36" width="9.140625" style="5" customWidth="1"/>
    <col min="37" max="38" width="9.140625" style="166" customWidth="1"/>
    <col min="39" max="39" width="10.85546875" style="5" customWidth="1"/>
    <col min="40" max="41" width="9.140625" style="5" customWidth="1"/>
    <col min="42" max="42" width="9.42578125" style="166" customWidth="1"/>
    <col min="43" max="43" width="9.140625" style="5" customWidth="1"/>
    <col min="44" max="44" width="9.5703125" style="18" customWidth="1"/>
    <col min="45" max="45" width="8.7109375" style="18" customWidth="1"/>
    <col min="46" max="46" width="16.7109375" customWidth="1"/>
    <col min="47" max="47" width="10.42578125" customWidth="1"/>
    <col min="48" max="48" width="9.140625" style="5" customWidth="1"/>
    <col min="49" max="49" width="9.140625" style="166" customWidth="1"/>
    <col min="51" max="51" width="17" customWidth="1"/>
    <col min="52" max="52" width="15.5703125" customWidth="1"/>
    <col min="53" max="54" width="12.140625" customWidth="1"/>
    <col min="55" max="57" width="9.140625" style="5" customWidth="1"/>
  </cols>
  <sheetData>
    <row r="1" spans="1:61" ht="20.25" thickTop="1" thickBot="1">
      <c r="A1" s="174" t="s">
        <v>17</v>
      </c>
      <c r="B1" s="175"/>
      <c r="C1" s="175"/>
      <c r="D1" s="175"/>
      <c r="E1" s="175"/>
      <c r="F1" s="175"/>
      <c r="G1" s="175"/>
      <c r="H1" s="176"/>
      <c r="I1" s="18" t="s">
        <v>18</v>
      </c>
      <c r="J1" s="18"/>
      <c r="K1" s="19"/>
      <c r="L1" s="19"/>
      <c r="N1" s="20" t="s">
        <v>19</v>
      </c>
      <c r="O1" s="21" t="s">
        <v>20</v>
      </c>
      <c r="P1" s="22" t="s">
        <v>21</v>
      </c>
      <c r="Q1" s="22" t="s">
        <v>22</v>
      </c>
      <c r="R1" s="22" t="s">
        <v>23</v>
      </c>
      <c r="S1" s="22" t="s">
        <v>24</v>
      </c>
      <c r="T1" s="23" t="s">
        <v>25</v>
      </c>
      <c r="U1" s="23" t="s">
        <v>26</v>
      </c>
      <c r="V1" s="21" t="s">
        <v>27</v>
      </c>
      <c r="W1" s="21" t="s">
        <v>28</v>
      </c>
      <c r="X1" s="21" t="s">
        <v>29</v>
      </c>
      <c r="Y1" s="24" t="s">
        <v>30</v>
      </c>
      <c r="Z1" s="21" t="s">
        <v>31</v>
      </c>
      <c r="AA1" s="21" t="s">
        <v>32</v>
      </c>
      <c r="AB1" s="22" t="s">
        <v>33</v>
      </c>
      <c r="AC1" s="21" t="s">
        <v>34</v>
      </c>
      <c r="AD1" s="21" t="s">
        <v>35</v>
      </c>
      <c r="AE1" s="22" t="s">
        <v>36</v>
      </c>
      <c r="AF1" s="21" t="s">
        <v>37</v>
      </c>
      <c r="AG1" s="24" t="s">
        <v>38</v>
      </c>
      <c r="AH1" s="21" t="s">
        <v>39</v>
      </c>
      <c r="AI1" s="24" t="s">
        <v>40</v>
      </c>
      <c r="AJ1" s="21" t="s">
        <v>41</v>
      </c>
      <c r="AK1" s="21" t="s">
        <v>42</v>
      </c>
      <c r="AL1" s="21" t="s">
        <v>43</v>
      </c>
      <c r="AM1" s="21" t="s">
        <v>44</v>
      </c>
      <c r="AN1" s="21" t="s">
        <v>45</v>
      </c>
      <c r="AO1" s="23" t="s">
        <v>46</v>
      </c>
      <c r="AP1" s="20" t="s">
        <v>47</v>
      </c>
      <c r="AQ1" s="21" t="s">
        <v>48</v>
      </c>
      <c r="AR1" s="24" t="s">
        <v>49</v>
      </c>
      <c r="AS1" s="24" t="s">
        <v>50</v>
      </c>
      <c r="AT1" s="25" t="s">
        <v>51</v>
      </c>
      <c r="AU1" s="21" t="s">
        <v>52</v>
      </c>
      <c r="AV1" s="21" t="s">
        <v>53</v>
      </c>
      <c r="AW1" s="24" t="s">
        <v>54</v>
      </c>
      <c r="AX1" s="21" t="s">
        <v>55</v>
      </c>
      <c r="AY1" s="26" t="s">
        <v>56</v>
      </c>
      <c r="AZ1" s="26" t="s">
        <v>57</v>
      </c>
      <c r="BA1" s="26" t="s">
        <v>58</v>
      </c>
      <c r="BB1" s="25" t="s">
        <v>59</v>
      </c>
      <c r="BC1" s="23" t="s">
        <v>60</v>
      </c>
      <c r="BD1" s="23" t="s">
        <v>29</v>
      </c>
      <c r="BE1" s="23" t="s">
        <v>61</v>
      </c>
      <c r="BH1" s="21" t="s">
        <v>62</v>
      </c>
      <c r="BI1" s="24" t="s">
        <v>63</v>
      </c>
    </row>
    <row r="2" spans="1:61" ht="16.5" thickTop="1" thickBot="1">
      <c r="A2" s="27" t="s">
        <v>64</v>
      </c>
      <c r="B2" s="28" t="s">
        <v>65</v>
      </c>
      <c r="C2" s="15"/>
      <c r="D2" s="15"/>
      <c r="E2" s="15"/>
      <c r="F2" s="15"/>
      <c r="G2" s="16"/>
      <c r="H2" s="29"/>
      <c r="I2" s="18" t="s">
        <v>66</v>
      </c>
      <c r="J2" s="18">
        <f>3.76*((B10/B11)^0.5)</f>
        <v>90.552791232518061</v>
      </c>
      <c r="K2" s="19"/>
      <c r="L2" s="19"/>
      <c r="N2" s="30" t="s">
        <v>67</v>
      </c>
      <c r="O2" s="31">
        <v>34.4</v>
      </c>
      <c r="P2" s="32">
        <v>14.2</v>
      </c>
      <c r="Q2" s="32">
        <v>0.80500000000000005</v>
      </c>
      <c r="R2" s="32">
        <v>14.9</v>
      </c>
      <c r="S2" s="32">
        <v>0.80500000000000005</v>
      </c>
      <c r="T2" s="31">
        <v>1.5</v>
      </c>
      <c r="U2" s="33">
        <v>1.0625</v>
      </c>
      <c r="V2" s="31">
        <v>9.25</v>
      </c>
      <c r="W2" s="34">
        <v>49.4</v>
      </c>
      <c r="X2" s="35">
        <f t="shared" ref="X2:X65" si="0">(P2-(2*S2))/Q2</f>
        <v>15.63975155279503</v>
      </c>
      <c r="Y2" s="36">
        <f t="shared" ref="Y2:Y65" si="1">((AD2*AR2)/(2*AB2))^0.5</f>
        <v>4.153306682072591</v>
      </c>
      <c r="Z2" s="34">
        <v>1.19</v>
      </c>
      <c r="AA2" s="31">
        <v>1220</v>
      </c>
      <c r="AB2" s="32">
        <v>172</v>
      </c>
      <c r="AC2" s="31">
        <v>5.96</v>
      </c>
      <c r="AD2" s="31">
        <v>443</v>
      </c>
      <c r="AE2" s="32">
        <v>59.5</v>
      </c>
      <c r="AF2" s="31">
        <v>3.59</v>
      </c>
      <c r="AG2" s="37">
        <v>194</v>
      </c>
      <c r="AH2" s="31">
        <v>91.4</v>
      </c>
      <c r="AI2" s="37">
        <v>8.02</v>
      </c>
      <c r="AJ2" s="31">
        <v>19900</v>
      </c>
      <c r="AK2" s="31">
        <v>49.9</v>
      </c>
      <c r="AL2" s="31">
        <v>149</v>
      </c>
      <c r="AM2" s="31">
        <v>38</v>
      </c>
      <c r="AN2" s="31">
        <v>96.3</v>
      </c>
      <c r="AO2" s="38" t="s">
        <v>68</v>
      </c>
      <c r="AP2" s="39" t="s">
        <v>69</v>
      </c>
      <c r="AQ2" s="40">
        <f t="shared" ref="AQ2:AQ65" si="2">1.76*AF2*($B$10/$B$11)^0.5</f>
        <v>152.16722237328247</v>
      </c>
      <c r="AR2" s="41">
        <f>(P2-S2)</f>
        <v>13.395</v>
      </c>
      <c r="AS2" s="37">
        <f t="shared" ref="AS2:AS65" si="3">((1.95*Y2*$B$10)/(0.7*$B$11))*(((AI2*1)/(AB2*AR2))^0.5)*(1+(1+(6.76*(((0.7*$B$11*AB2*AR2)/($B$10*AI2*1))^2)))^0.5)^0.5</f>
        <v>606.46367008240225</v>
      </c>
      <c r="AT2" s="42">
        <f t="shared" ref="AT2:AT65" si="4">$B$11*AG2</f>
        <v>9700</v>
      </c>
      <c r="AU2" s="31">
        <f t="shared" ref="AU2:AU65" si="5">0.7*$B$11*AB2</f>
        <v>6020</v>
      </c>
      <c r="AV2" s="31">
        <f t="shared" ref="AV2:AV65" si="6">(AT2-AU2)/(AS2-AQ2)</f>
        <v>8.1004375415153085</v>
      </c>
      <c r="AW2" s="37">
        <f t="shared" ref="AW2:AW65" si="7">(($B$28*(3.142857143^2)*$B$10)/(($B$20*12)/Y2)^2)*((1+((0.078*AI2*(((12*$B$20)/Y2)^2))/(AB2*AR2)))^0.5)</f>
        <v>20343.060218561153</v>
      </c>
      <c r="AX2" s="31">
        <f t="shared" ref="AX2:AX65" si="8">AQ2+((AT2*($B$28-1))/(AV2*$B$28))</f>
        <v>152.16722237328247</v>
      </c>
      <c r="AY2" s="42">
        <f t="shared" ref="AY2:AY65" si="9">$B$28*(AT2-(AV2*(($B$20*12)-AQ2)))</f>
        <v>10806.254255053007</v>
      </c>
      <c r="AZ2" s="42">
        <f>AW2*AB2</f>
        <v>3499006.3575925184</v>
      </c>
      <c r="BA2" s="42">
        <f t="shared" ref="BA2:BA65" si="10">AT2-((AT2-(0.7*$B$11*AB2))*($J$17))</f>
        <v>10787.275069205842</v>
      </c>
      <c r="BB2" s="42">
        <f t="shared" ref="BB2:BB65" si="11">AH2*$B$11</f>
        <v>4570</v>
      </c>
      <c r="BC2" s="38">
        <f>P2-T2</f>
        <v>12.7</v>
      </c>
      <c r="BD2" s="38">
        <f>BC2/Q2</f>
        <v>15.776397515527949</v>
      </c>
      <c r="BE2" s="38">
        <f>Q2*P2</f>
        <v>11.431000000000001</v>
      </c>
      <c r="BH2" s="34">
        <v>17.7</v>
      </c>
      <c r="BI2" s="43">
        <v>4</v>
      </c>
    </row>
    <row r="3" spans="1:61" ht="15.75" thickTop="1">
      <c r="A3" s="44" t="s">
        <v>70</v>
      </c>
      <c r="B3" s="45">
        <f>VLOOKUP(B2,N17:AB376,3,FALSE)</f>
        <v>12.3</v>
      </c>
      <c r="C3" s="46" t="s">
        <v>71</v>
      </c>
      <c r="D3" s="47">
        <f>B3*25.4</f>
        <v>312.42</v>
      </c>
      <c r="E3" s="15"/>
      <c r="F3" s="15"/>
      <c r="G3" s="16"/>
      <c r="H3" s="29"/>
      <c r="I3" s="18" t="s">
        <v>72</v>
      </c>
      <c r="J3" s="18">
        <f>5.7*(B10/B11)^0.5</f>
        <v>137.27417819823216</v>
      </c>
      <c r="K3" s="19"/>
      <c r="N3" s="30" t="s">
        <v>73</v>
      </c>
      <c r="O3" s="31">
        <v>30</v>
      </c>
      <c r="P3" s="32">
        <v>14</v>
      </c>
      <c r="Q3" s="32">
        <v>0.70499999999999996</v>
      </c>
      <c r="R3" s="32">
        <v>14.8</v>
      </c>
      <c r="S3" s="32">
        <v>0.70499999999999996</v>
      </c>
      <c r="T3" s="31">
        <v>1.375</v>
      </c>
      <c r="U3" s="33">
        <v>1</v>
      </c>
      <c r="V3" s="31">
        <v>10.5</v>
      </c>
      <c r="W3" s="34">
        <v>38.4</v>
      </c>
      <c r="X3" s="35">
        <f t="shared" si="0"/>
        <v>17.858156028368796</v>
      </c>
      <c r="Y3" s="36">
        <f t="shared" si="1"/>
        <v>4.1036975197172287</v>
      </c>
      <c r="Z3" s="34">
        <v>1.34</v>
      </c>
      <c r="AA3" s="31">
        <v>1050</v>
      </c>
      <c r="AB3" s="32">
        <v>150</v>
      </c>
      <c r="AC3" s="31">
        <v>5.92</v>
      </c>
      <c r="AD3" s="31">
        <v>380</v>
      </c>
      <c r="AE3" s="32">
        <v>51.4</v>
      </c>
      <c r="AF3" s="31">
        <v>3.56</v>
      </c>
      <c r="AG3" s="37">
        <v>169</v>
      </c>
      <c r="AH3" s="31">
        <v>78.8</v>
      </c>
      <c r="AI3" s="37">
        <v>5.39</v>
      </c>
      <c r="AJ3" s="31">
        <v>16800</v>
      </c>
      <c r="AK3" s="31">
        <v>49.2</v>
      </c>
      <c r="AL3" s="31">
        <v>128</v>
      </c>
      <c r="AM3" s="31">
        <v>33</v>
      </c>
      <c r="AN3" s="31">
        <v>83.3</v>
      </c>
      <c r="AO3" s="38" t="s">
        <v>68</v>
      </c>
      <c r="AP3" s="39" t="s">
        <v>69</v>
      </c>
      <c r="AQ3" s="40">
        <f t="shared" si="2"/>
        <v>150.89562998576201</v>
      </c>
      <c r="AR3" s="41">
        <f t="shared" ref="AR3:AR66" si="12">(P3-S3)</f>
        <v>13.295</v>
      </c>
      <c r="AS3" s="37">
        <f t="shared" si="3"/>
        <v>548.53177715112929</v>
      </c>
      <c r="AT3" s="42">
        <f t="shared" si="4"/>
        <v>8450</v>
      </c>
      <c r="AU3" s="31">
        <f t="shared" si="5"/>
        <v>5250</v>
      </c>
      <c r="AV3" s="31">
        <f t="shared" si="6"/>
        <v>8.0475581076113709</v>
      </c>
      <c r="AW3" s="37">
        <f t="shared" si="7"/>
        <v>19852.23015463278</v>
      </c>
      <c r="AX3" s="31">
        <f t="shared" si="8"/>
        <v>150.89562998576201</v>
      </c>
      <c r="AY3" s="42">
        <f t="shared" si="9"/>
        <v>9538.7994440163075</v>
      </c>
      <c r="AZ3" s="42">
        <f t="shared" ref="AZ3:AZ66" si="13">AW3*AB3</f>
        <v>2977834.523194917</v>
      </c>
      <c r="BA3" s="42">
        <f t="shared" si="10"/>
        <v>9395.4565819181225</v>
      </c>
      <c r="BB3" s="42">
        <f t="shared" si="11"/>
        <v>3940</v>
      </c>
      <c r="BC3" s="38">
        <f t="shared" ref="BC3:BC66" si="14">P3-T3</f>
        <v>12.625</v>
      </c>
      <c r="BD3" s="38">
        <f t="shared" ref="BD3:BD66" si="15">BC3/Q3</f>
        <v>17.907801418439718</v>
      </c>
      <c r="BE3" s="38">
        <f t="shared" ref="BE3:BE66" si="16">Q3*P3</f>
        <v>9.8699999999999992</v>
      </c>
      <c r="BH3" s="34">
        <v>19.899999999999999</v>
      </c>
      <c r="BI3" s="43">
        <v>3.97</v>
      </c>
    </row>
    <row r="4" spans="1:61">
      <c r="A4" s="48" t="s">
        <v>74</v>
      </c>
      <c r="B4" s="49">
        <f>VLOOKUP(B2,N17:AB376,5,FALSE)</f>
        <v>4.03</v>
      </c>
      <c r="C4" s="50" t="s">
        <v>75</v>
      </c>
      <c r="D4" s="51">
        <f t="shared" ref="D4:D6" si="17">B4*25.4</f>
        <v>102.36199999999999</v>
      </c>
      <c r="E4" s="15"/>
      <c r="F4" s="15"/>
      <c r="G4" s="16"/>
      <c r="H4" s="29"/>
      <c r="I4" s="18" t="s">
        <v>76</v>
      </c>
      <c r="J4" s="18">
        <f>VLOOKUP(B2,N2:AZ376,11,FALSE)</f>
        <v>44.03846153846154</v>
      </c>
      <c r="K4" s="177" t="str">
        <f>IF(J4&lt;=J2,"compact web","non-compact web")</f>
        <v>compact web</v>
      </c>
      <c r="L4" s="177"/>
      <c r="N4" s="30" t="s">
        <v>77</v>
      </c>
      <c r="O4" s="31">
        <v>26.1</v>
      </c>
      <c r="P4" s="32">
        <v>13.8</v>
      </c>
      <c r="Q4" s="32">
        <v>0.61499999999999999</v>
      </c>
      <c r="R4" s="32">
        <v>14.7</v>
      </c>
      <c r="S4" s="32">
        <v>0.61499999999999999</v>
      </c>
      <c r="T4" s="31">
        <v>1.3125</v>
      </c>
      <c r="U4" s="33">
        <v>0.9375</v>
      </c>
      <c r="V4" s="31">
        <v>11.9</v>
      </c>
      <c r="W4" s="34">
        <v>29.6</v>
      </c>
      <c r="X4" s="35">
        <f t="shared" si="0"/>
        <v>20.439024390243905</v>
      </c>
      <c r="Y4" s="36">
        <f t="shared" si="1"/>
        <v>4.0504028637628906</v>
      </c>
      <c r="Z4" s="34">
        <v>1.53</v>
      </c>
      <c r="AA4" s="31">
        <v>904</v>
      </c>
      <c r="AB4" s="32">
        <v>131</v>
      </c>
      <c r="AC4" s="31">
        <v>5.88</v>
      </c>
      <c r="AD4" s="31">
        <v>326</v>
      </c>
      <c r="AE4" s="32">
        <v>44.3</v>
      </c>
      <c r="AF4" s="31">
        <v>3.53</v>
      </c>
      <c r="AG4" s="37">
        <v>146</v>
      </c>
      <c r="AH4" s="31">
        <v>67.7</v>
      </c>
      <c r="AI4" s="37">
        <v>3.59</v>
      </c>
      <c r="AJ4" s="31">
        <v>14200</v>
      </c>
      <c r="AK4" s="31">
        <v>48.5</v>
      </c>
      <c r="AL4" s="31">
        <v>110</v>
      </c>
      <c r="AM4" s="31">
        <v>28.6</v>
      </c>
      <c r="AN4" s="31">
        <v>71.900000000000006</v>
      </c>
      <c r="AO4" s="38" t="s">
        <v>68</v>
      </c>
      <c r="AP4" s="39" t="s">
        <v>69</v>
      </c>
      <c r="AQ4" s="40">
        <f t="shared" si="2"/>
        <v>149.62403759824153</v>
      </c>
      <c r="AR4" s="41">
        <f t="shared" si="12"/>
        <v>13.185</v>
      </c>
      <c r="AS4" s="37">
        <f t="shared" si="3"/>
        <v>500.21378545814611</v>
      </c>
      <c r="AT4" s="42">
        <f t="shared" si="4"/>
        <v>7300</v>
      </c>
      <c r="AU4" s="31">
        <f t="shared" si="5"/>
        <v>4585</v>
      </c>
      <c r="AV4" s="31">
        <f t="shared" si="6"/>
        <v>7.7440941059260862</v>
      </c>
      <c r="AW4" s="37">
        <f t="shared" si="7"/>
        <v>19333.750430782489</v>
      </c>
      <c r="AX4" s="31">
        <f t="shared" si="8"/>
        <v>149.62403759824153</v>
      </c>
      <c r="AY4" s="42">
        <f t="shared" si="9"/>
        <v>8337.8947596169583</v>
      </c>
      <c r="AZ4" s="42">
        <f t="shared" si="13"/>
        <v>2532721.3064325061</v>
      </c>
      <c r="BA4" s="42">
        <f t="shared" si="10"/>
        <v>8102.1608187211568</v>
      </c>
      <c r="BB4" s="42">
        <f t="shared" si="11"/>
        <v>3385</v>
      </c>
      <c r="BC4" s="38">
        <f t="shared" si="14"/>
        <v>12.487500000000001</v>
      </c>
      <c r="BD4" s="38">
        <f t="shared" si="15"/>
        <v>20.304878048780488</v>
      </c>
      <c r="BE4" s="38">
        <f t="shared" si="16"/>
        <v>8.4870000000000001</v>
      </c>
      <c r="BH4" s="34">
        <v>22.5</v>
      </c>
      <c r="BI4" s="43">
        <v>3.94</v>
      </c>
    </row>
    <row r="5" spans="1:61">
      <c r="A5" s="48" t="s">
        <v>78</v>
      </c>
      <c r="B5" s="49">
        <f>VLOOKUP(B2,N17:AB376,6,FALSE)</f>
        <v>0.42499999999999999</v>
      </c>
      <c r="C5" s="50" t="s">
        <v>79</v>
      </c>
      <c r="D5" s="51">
        <f t="shared" si="17"/>
        <v>10.795</v>
      </c>
      <c r="E5" s="15"/>
      <c r="F5" s="15"/>
      <c r="G5" s="16"/>
      <c r="H5" s="29"/>
      <c r="I5"/>
      <c r="J5"/>
      <c r="N5" s="30" t="s">
        <v>80</v>
      </c>
      <c r="O5" s="31">
        <v>21.4</v>
      </c>
      <c r="P5" s="32">
        <v>13.6</v>
      </c>
      <c r="Q5" s="32">
        <v>0.505</v>
      </c>
      <c r="R5" s="32">
        <v>14.6</v>
      </c>
      <c r="S5" s="32">
        <v>0.505</v>
      </c>
      <c r="T5" s="31">
        <v>1.1875</v>
      </c>
      <c r="U5" s="33">
        <v>0.875</v>
      </c>
      <c r="V5" s="31">
        <v>14.4</v>
      </c>
      <c r="W5" s="34">
        <v>20.3</v>
      </c>
      <c r="X5" s="35">
        <f t="shared" si="0"/>
        <v>24.93069306930693</v>
      </c>
      <c r="Y5" s="36">
        <f t="shared" si="1"/>
        <v>3.996373940573779</v>
      </c>
      <c r="Z5" s="34">
        <v>1.85</v>
      </c>
      <c r="AA5" s="31">
        <v>729</v>
      </c>
      <c r="AB5" s="32">
        <v>107</v>
      </c>
      <c r="AC5" s="31">
        <v>5.84</v>
      </c>
      <c r="AD5" s="31">
        <v>261</v>
      </c>
      <c r="AE5" s="32">
        <v>35.799999999999997</v>
      </c>
      <c r="AF5" s="31">
        <v>3.49</v>
      </c>
      <c r="AG5" s="37">
        <v>118</v>
      </c>
      <c r="AH5" s="31">
        <v>54.6</v>
      </c>
      <c r="AI5" s="37">
        <v>2.0099999999999998</v>
      </c>
      <c r="AJ5" s="31">
        <v>11200</v>
      </c>
      <c r="AK5" s="31">
        <v>47.8</v>
      </c>
      <c r="AL5" s="31">
        <v>88</v>
      </c>
      <c r="AM5" s="31">
        <v>23.3</v>
      </c>
      <c r="AN5" s="31">
        <v>58.3</v>
      </c>
      <c r="AO5" s="38" t="s">
        <v>68</v>
      </c>
      <c r="AP5" s="39" t="s">
        <v>69</v>
      </c>
      <c r="AQ5" s="40">
        <f t="shared" si="2"/>
        <v>147.92858108154761</v>
      </c>
      <c r="AR5" s="41">
        <f t="shared" si="12"/>
        <v>13.094999999999999</v>
      </c>
      <c r="AS5" s="37">
        <f t="shared" si="3"/>
        <v>451.28851814830938</v>
      </c>
      <c r="AT5" s="42">
        <f t="shared" si="4"/>
        <v>5900</v>
      </c>
      <c r="AU5" s="31">
        <f t="shared" si="5"/>
        <v>3745</v>
      </c>
      <c r="AV5" s="31">
        <f t="shared" si="6"/>
        <v>7.1037725707522803</v>
      </c>
      <c r="AW5" s="37">
        <f t="shared" si="7"/>
        <v>18814.8272529977</v>
      </c>
      <c r="AX5" s="31">
        <f t="shared" si="8"/>
        <v>147.92858108154761</v>
      </c>
      <c r="AY5" s="42">
        <f t="shared" si="9"/>
        <v>6840.0321446136668</v>
      </c>
      <c r="AZ5" s="42">
        <f t="shared" si="13"/>
        <v>2013186.516070754</v>
      </c>
      <c r="BA5" s="42">
        <f t="shared" si="10"/>
        <v>6536.7059168854857</v>
      </c>
      <c r="BB5" s="42">
        <f t="shared" si="11"/>
        <v>2730</v>
      </c>
      <c r="BC5" s="38">
        <f t="shared" si="14"/>
        <v>12.4125</v>
      </c>
      <c r="BD5" s="38">
        <f t="shared" si="15"/>
        <v>24.579207920792079</v>
      </c>
      <c r="BE5" s="38">
        <f t="shared" si="16"/>
        <v>6.8679999999999994</v>
      </c>
      <c r="BH5" s="34">
        <v>27</v>
      </c>
      <c r="BI5" s="43">
        <v>3.9</v>
      </c>
    </row>
    <row r="6" spans="1:61">
      <c r="A6" s="48" t="s">
        <v>81</v>
      </c>
      <c r="B6" s="49">
        <f>VLOOKUP(B2,N17:AB376,4,FALSE)</f>
        <v>0.26</v>
      </c>
      <c r="C6" s="50" t="s">
        <v>82</v>
      </c>
      <c r="D6" s="51">
        <f t="shared" si="17"/>
        <v>6.6040000000000001</v>
      </c>
      <c r="E6" s="15"/>
      <c r="F6" s="15"/>
      <c r="G6" s="16"/>
      <c r="H6" s="29"/>
      <c r="I6"/>
      <c r="J6"/>
      <c r="N6" s="52" t="s">
        <v>83</v>
      </c>
      <c r="O6" s="53">
        <v>29.4</v>
      </c>
      <c r="P6" s="54">
        <v>13.15</v>
      </c>
      <c r="Q6" s="54">
        <v>0.76500000000000001</v>
      </c>
      <c r="R6" s="55">
        <v>13.205</v>
      </c>
      <c r="S6" s="54">
        <v>0.76500000000000001</v>
      </c>
      <c r="T6" s="53">
        <v>1.4375</v>
      </c>
      <c r="U6" s="53">
        <v>1</v>
      </c>
      <c r="V6" s="53">
        <v>8.6</v>
      </c>
      <c r="W6" s="53">
        <v>56.7</v>
      </c>
      <c r="X6" s="56">
        <f t="shared" si="0"/>
        <v>15.189542483660132</v>
      </c>
      <c r="Y6" s="56">
        <f t="shared" si="1"/>
        <v>3.6723138331151506</v>
      </c>
      <c r="Z6" s="53">
        <v>1.3</v>
      </c>
      <c r="AA6" s="53">
        <v>886</v>
      </c>
      <c r="AB6" s="54">
        <v>135</v>
      </c>
      <c r="AC6" s="53">
        <v>5.49</v>
      </c>
      <c r="AD6" s="53">
        <v>294</v>
      </c>
      <c r="AE6" s="54">
        <v>44.5</v>
      </c>
      <c r="AF6" s="53">
        <v>3.16</v>
      </c>
      <c r="AG6" s="53">
        <v>153</v>
      </c>
      <c r="AH6" s="53">
        <v>68.599999999999994</v>
      </c>
      <c r="AI6" s="53">
        <v>6.25</v>
      </c>
      <c r="AJ6" s="53">
        <v>11287</v>
      </c>
      <c r="AK6" s="53">
        <v>0</v>
      </c>
      <c r="AL6" s="53">
        <v>0</v>
      </c>
      <c r="AM6" s="53">
        <v>0</v>
      </c>
      <c r="AN6" s="53">
        <v>0</v>
      </c>
      <c r="AO6" s="57" t="s">
        <v>84</v>
      </c>
      <c r="AP6" s="58" t="s">
        <v>69</v>
      </c>
      <c r="AQ6" s="40">
        <f t="shared" si="2"/>
        <v>133.94106481882247</v>
      </c>
      <c r="AR6" s="41">
        <f t="shared" si="12"/>
        <v>12.385</v>
      </c>
      <c r="AS6" s="37">
        <f t="shared" si="3"/>
        <v>550.83854393828858</v>
      </c>
      <c r="AT6" s="42">
        <f t="shared" si="4"/>
        <v>7650</v>
      </c>
      <c r="AU6" s="59">
        <f t="shared" si="5"/>
        <v>4725</v>
      </c>
      <c r="AV6" s="59">
        <f t="shared" si="6"/>
        <v>7.016113424763148</v>
      </c>
      <c r="AW6" s="59">
        <f t="shared" si="7"/>
        <v>15915.386794804908</v>
      </c>
      <c r="AX6" s="59">
        <f t="shared" si="8"/>
        <v>133.94106481882247</v>
      </c>
      <c r="AY6" s="60">
        <f t="shared" si="9"/>
        <v>8480.2943335761065</v>
      </c>
      <c r="AZ6" s="60">
        <f t="shared" si="13"/>
        <v>2148577.2172986628</v>
      </c>
      <c r="BA6" s="60">
        <f t="shared" si="10"/>
        <v>8514.2064069095341</v>
      </c>
      <c r="BB6" s="42">
        <f t="shared" si="11"/>
        <v>3429.9999999999995</v>
      </c>
      <c r="BC6" s="38">
        <f t="shared" si="14"/>
        <v>11.7125</v>
      </c>
      <c r="BD6" s="38">
        <f t="shared" si="15"/>
        <v>15.31045751633987</v>
      </c>
      <c r="BE6" s="38">
        <f t="shared" si="16"/>
        <v>10.059750000000001</v>
      </c>
      <c r="BH6" s="53">
        <v>17.2</v>
      </c>
      <c r="BI6" s="53">
        <v>3.54</v>
      </c>
    </row>
    <row r="7" spans="1:61">
      <c r="A7" s="48" t="s">
        <v>85</v>
      </c>
      <c r="B7" s="49">
        <f>VLOOKUP(B2,N2:BE376,2,FALSE)</f>
        <v>6.48</v>
      </c>
      <c r="C7" s="50" t="s">
        <v>86</v>
      </c>
      <c r="D7" s="51">
        <f>B7*25.4^2</f>
        <v>4180.6368000000002</v>
      </c>
      <c r="E7" s="15"/>
      <c r="F7" s="15"/>
      <c r="G7" s="16"/>
      <c r="H7" s="29"/>
      <c r="I7" s="5" t="s">
        <v>87</v>
      </c>
      <c r="J7" s="18">
        <f>VLOOKUP(B2,N2:AZ376,30,FALSE)</f>
        <v>35.943678153911854</v>
      </c>
      <c r="K7" s="5" t="s">
        <v>88</v>
      </c>
      <c r="L7" s="18">
        <f>J7/12</f>
        <v>2.9953065128259877</v>
      </c>
      <c r="M7" s="16" t="s">
        <v>89</v>
      </c>
      <c r="N7" s="52" t="s">
        <v>90</v>
      </c>
      <c r="O7" s="53">
        <v>25.5</v>
      </c>
      <c r="P7" s="54">
        <v>12.95</v>
      </c>
      <c r="Q7" s="54">
        <v>0.66500000000000004</v>
      </c>
      <c r="R7" s="55">
        <v>13.105</v>
      </c>
      <c r="S7" s="54">
        <v>0.66500000000000004</v>
      </c>
      <c r="T7" s="53">
        <v>1.375</v>
      </c>
      <c r="U7" s="53">
        <v>0.9375</v>
      </c>
      <c r="V7" s="53">
        <v>9.9</v>
      </c>
      <c r="W7" s="53">
        <v>43.5</v>
      </c>
      <c r="X7" s="56">
        <f t="shared" si="0"/>
        <v>17.473684210526315</v>
      </c>
      <c r="Y7" s="56">
        <f t="shared" si="1"/>
        <v>3.6228441865473595</v>
      </c>
      <c r="Z7" s="53">
        <v>1.49</v>
      </c>
      <c r="AA7" s="53">
        <v>755</v>
      </c>
      <c r="AB7" s="54">
        <v>117</v>
      </c>
      <c r="AC7" s="53">
        <v>5.45</v>
      </c>
      <c r="AD7" s="53">
        <v>250</v>
      </c>
      <c r="AE7" s="54">
        <v>38.1</v>
      </c>
      <c r="AF7" s="53">
        <v>3.13</v>
      </c>
      <c r="AG7" s="53">
        <v>131</v>
      </c>
      <c r="AH7" s="53">
        <v>58.5</v>
      </c>
      <c r="AI7" s="53">
        <v>4.12</v>
      </c>
      <c r="AJ7" s="53">
        <v>9433</v>
      </c>
      <c r="AK7" s="53">
        <v>0</v>
      </c>
      <c r="AL7" s="53">
        <v>0</v>
      </c>
      <c r="AM7" s="53">
        <v>0</v>
      </c>
      <c r="AN7" s="53">
        <v>0</v>
      </c>
      <c r="AO7" s="57" t="s">
        <v>84</v>
      </c>
      <c r="AP7" s="58" t="s">
        <v>69</v>
      </c>
      <c r="AQ7" s="40">
        <f t="shared" si="2"/>
        <v>132.66947243130198</v>
      </c>
      <c r="AR7" s="41">
        <f t="shared" si="12"/>
        <v>12.285</v>
      </c>
      <c r="AS7" s="37">
        <f t="shared" si="3"/>
        <v>493.79363363671422</v>
      </c>
      <c r="AT7" s="42">
        <f t="shared" si="4"/>
        <v>6550</v>
      </c>
      <c r="AU7" s="59">
        <f t="shared" si="5"/>
        <v>4095</v>
      </c>
      <c r="AV7" s="59">
        <f t="shared" si="6"/>
        <v>6.7982158596238689</v>
      </c>
      <c r="AW7" s="59">
        <f t="shared" si="7"/>
        <v>15480.882910107395</v>
      </c>
      <c r="AX7" s="59">
        <f t="shared" si="8"/>
        <v>132.66947243130198</v>
      </c>
      <c r="AY7" s="60">
        <f t="shared" si="9"/>
        <v>7345.8635441602764</v>
      </c>
      <c r="AZ7" s="60">
        <f t="shared" si="13"/>
        <v>1811263.3004825653</v>
      </c>
      <c r="BA7" s="60">
        <f t="shared" si="10"/>
        <v>7275.34247144031</v>
      </c>
      <c r="BB7" s="42">
        <f t="shared" si="11"/>
        <v>2925</v>
      </c>
      <c r="BC7" s="38">
        <f t="shared" si="14"/>
        <v>11.574999999999999</v>
      </c>
      <c r="BD7" s="38">
        <f t="shared" si="15"/>
        <v>17.406015037593981</v>
      </c>
      <c r="BE7" s="38">
        <f t="shared" si="16"/>
        <v>8.6117500000000007</v>
      </c>
      <c r="BH7" s="53">
        <v>19.5</v>
      </c>
      <c r="BI7" s="53">
        <v>3.51</v>
      </c>
    </row>
    <row r="8" spans="1:61" ht="15.75" thickBot="1">
      <c r="A8" s="61"/>
      <c r="B8" s="19"/>
      <c r="C8" s="16"/>
      <c r="D8" s="15"/>
      <c r="E8" s="15"/>
      <c r="F8" s="15"/>
      <c r="G8" s="16"/>
      <c r="H8" s="29"/>
      <c r="I8" s="5" t="s">
        <v>91</v>
      </c>
      <c r="J8" s="18">
        <f>VLOOKUP(B2,N2:AZ376,37,FALSE)</f>
        <v>35.943678153911854</v>
      </c>
      <c r="K8" s="5" t="s">
        <v>88</v>
      </c>
      <c r="L8" s="18">
        <f>J8/12</f>
        <v>2.9953065128259877</v>
      </c>
      <c r="M8" s="16" t="s">
        <v>89</v>
      </c>
      <c r="N8" s="52" t="s">
        <v>92</v>
      </c>
      <c r="O8" s="53">
        <v>21.6</v>
      </c>
      <c r="P8" s="54">
        <v>12.75</v>
      </c>
      <c r="Q8" s="54">
        <v>0.56499999999999995</v>
      </c>
      <c r="R8" s="55">
        <v>13.005000000000001</v>
      </c>
      <c r="S8" s="54">
        <v>0.56499999999999995</v>
      </c>
      <c r="T8" s="53">
        <v>1.25</v>
      </c>
      <c r="U8" s="53">
        <v>0.9375</v>
      </c>
      <c r="V8" s="53">
        <v>11.5</v>
      </c>
      <c r="W8" s="53">
        <v>31.9</v>
      </c>
      <c r="X8" s="56">
        <f t="shared" si="0"/>
        <v>20.566371681415934</v>
      </c>
      <c r="Y8" s="56">
        <f t="shared" si="1"/>
        <v>3.5727651489730752</v>
      </c>
      <c r="Z8" s="53">
        <v>1.74</v>
      </c>
      <c r="AA8" s="53">
        <v>630</v>
      </c>
      <c r="AB8" s="54">
        <v>98.8</v>
      </c>
      <c r="AC8" s="53">
        <v>5.4</v>
      </c>
      <c r="AD8" s="53">
        <v>207</v>
      </c>
      <c r="AE8" s="54">
        <v>31.9</v>
      </c>
      <c r="AF8" s="53">
        <v>3.1</v>
      </c>
      <c r="AG8" s="53">
        <v>110</v>
      </c>
      <c r="AH8" s="53">
        <v>48.8</v>
      </c>
      <c r="AI8" s="53">
        <v>2.54</v>
      </c>
      <c r="AJ8" s="53">
        <v>7703</v>
      </c>
      <c r="AK8" s="53">
        <v>0</v>
      </c>
      <c r="AL8" s="53">
        <v>0</v>
      </c>
      <c r="AM8" s="53">
        <v>0</v>
      </c>
      <c r="AN8" s="53">
        <v>0</v>
      </c>
      <c r="AO8" s="57" t="s">
        <v>84</v>
      </c>
      <c r="AP8" s="58" t="s">
        <v>69</v>
      </c>
      <c r="AQ8" s="40">
        <f t="shared" si="2"/>
        <v>131.39788004378156</v>
      </c>
      <c r="AR8" s="41">
        <f t="shared" si="12"/>
        <v>12.185</v>
      </c>
      <c r="AS8" s="37">
        <f t="shared" si="3"/>
        <v>443.0658128902823</v>
      </c>
      <c r="AT8" s="42">
        <f t="shared" si="4"/>
        <v>5500</v>
      </c>
      <c r="AU8" s="59">
        <f t="shared" si="5"/>
        <v>3458</v>
      </c>
      <c r="AV8" s="59">
        <f t="shared" si="6"/>
        <v>6.5518450401687716</v>
      </c>
      <c r="AW8" s="59">
        <f t="shared" si="7"/>
        <v>15048.293677773145</v>
      </c>
      <c r="AX8" s="59">
        <f t="shared" si="8"/>
        <v>131.39788004378156</v>
      </c>
      <c r="AY8" s="60">
        <f t="shared" si="9"/>
        <v>6258.6897660269087</v>
      </c>
      <c r="AZ8" s="60">
        <f t="shared" si="13"/>
        <v>1486771.4153639867</v>
      </c>
      <c r="BA8" s="60">
        <f t="shared" si="10"/>
        <v>6103.3194813365017</v>
      </c>
      <c r="BB8" s="42">
        <f t="shared" si="11"/>
        <v>2440</v>
      </c>
      <c r="BC8" s="38">
        <f t="shared" si="14"/>
        <v>11.5</v>
      </c>
      <c r="BD8" s="38">
        <f t="shared" si="15"/>
        <v>20.353982300884958</v>
      </c>
      <c r="BE8" s="38">
        <f t="shared" si="16"/>
        <v>7.2037499999999994</v>
      </c>
      <c r="BH8" s="53">
        <v>22.6</v>
      </c>
      <c r="BI8" s="53">
        <v>3.47</v>
      </c>
    </row>
    <row r="9" spans="1:61" ht="16.5" thickTop="1" thickBot="1">
      <c r="A9" s="178" t="s">
        <v>93</v>
      </c>
      <c r="B9" s="179"/>
      <c r="C9" s="16"/>
      <c r="D9" s="15"/>
      <c r="E9" s="15"/>
      <c r="F9" s="15"/>
      <c r="G9" s="16"/>
      <c r="H9" s="29"/>
      <c r="I9" s="5" t="s">
        <v>94</v>
      </c>
      <c r="J9" s="18">
        <f>VLOOKUP(B2,N2:AZ376,32,FALSE)</f>
        <v>110.01610964740955</v>
      </c>
      <c r="K9" s="5" t="s">
        <v>88</v>
      </c>
      <c r="L9" s="18">
        <f>J9/12</f>
        <v>9.1680091372841286</v>
      </c>
      <c r="M9" s="16" t="s">
        <v>89</v>
      </c>
      <c r="N9" s="52" t="s">
        <v>95</v>
      </c>
      <c r="O9" s="53">
        <v>17.5</v>
      </c>
      <c r="P9" s="54">
        <v>12.54</v>
      </c>
      <c r="Q9" s="54">
        <v>0.46</v>
      </c>
      <c r="R9" s="54">
        <v>12.9</v>
      </c>
      <c r="S9" s="54">
        <v>0.46</v>
      </c>
      <c r="T9" s="53">
        <v>1.125</v>
      </c>
      <c r="U9" s="53">
        <v>0.875</v>
      </c>
      <c r="V9" s="53">
        <v>14</v>
      </c>
      <c r="W9" s="53">
        <v>21.5</v>
      </c>
      <c r="X9" s="56">
        <f t="shared" si="0"/>
        <v>25.260869565217387</v>
      </c>
      <c r="Y9" s="56">
        <f t="shared" si="1"/>
        <v>3.522919088498853</v>
      </c>
      <c r="Z9" s="53">
        <v>2.11</v>
      </c>
      <c r="AA9" s="53">
        <v>503</v>
      </c>
      <c r="AB9" s="54">
        <v>80.3</v>
      </c>
      <c r="AC9" s="53">
        <v>5.36</v>
      </c>
      <c r="AD9" s="53">
        <v>165</v>
      </c>
      <c r="AE9" s="54">
        <v>25.5</v>
      </c>
      <c r="AF9" s="53">
        <v>3.07</v>
      </c>
      <c r="AG9" s="53">
        <v>89</v>
      </c>
      <c r="AH9" s="53">
        <v>39</v>
      </c>
      <c r="AI9" s="53">
        <v>1.39</v>
      </c>
      <c r="AJ9" s="53">
        <v>6008</v>
      </c>
      <c r="AK9" s="53">
        <v>0</v>
      </c>
      <c r="AL9" s="53">
        <v>0</v>
      </c>
      <c r="AM9" s="53">
        <v>0</v>
      </c>
      <c r="AN9" s="53">
        <v>0</v>
      </c>
      <c r="AO9" s="57" t="s">
        <v>84</v>
      </c>
      <c r="AP9" s="58" t="s">
        <v>69</v>
      </c>
      <c r="AQ9" s="40">
        <f t="shared" si="2"/>
        <v>130.12628765626107</v>
      </c>
      <c r="AR9" s="41">
        <f t="shared" si="12"/>
        <v>12.079999999999998</v>
      </c>
      <c r="AS9" s="37">
        <f t="shared" si="3"/>
        <v>397.73356878993616</v>
      </c>
      <c r="AT9" s="42">
        <f t="shared" si="4"/>
        <v>4450</v>
      </c>
      <c r="AU9" s="59">
        <f t="shared" si="5"/>
        <v>2810.5</v>
      </c>
      <c r="AV9" s="59">
        <f t="shared" si="6"/>
        <v>6.1265149178846059</v>
      </c>
      <c r="AW9" s="59">
        <f t="shared" si="7"/>
        <v>14624.425348499144</v>
      </c>
      <c r="AX9" s="59">
        <f t="shared" si="8"/>
        <v>130.12628765626107</v>
      </c>
      <c r="AY9" s="60">
        <f t="shared" si="9"/>
        <v>5151.6470098160271</v>
      </c>
      <c r="AZ9" s="60">
        <f t="shared" si="13"/>
        <v>1174341.3554844812</v>
      </c>
      <c r="BA9" s="60">
        <f t="shared" si="10"/>
        <v>4934.398770642113</v>
      </c>
      <c r="BB9" s="42">
        <f t="shared" si="11"/>
        <v>1950</v>
      </c>
      <c r="BC9" s="38">
        <f t="shared" si="14"/>
        <v>11.414999999999999</v>
      </c>
      <c r="BD9" s="38">
        <f t="shared" si="15"/>
        <v>24.815217391304344</v>
      </c>
      <c r="BE9" s="38">
        <f t="shared" si="16"/>
        <v>5.7683999999999997</v>
      </c>
      <c r="BH9" s="53">
        <v>27.3</v>
      </c>
      <c r="BI9" s="53">
        <v>3.43</v>
      </c>
    </row>
    <row r="10" spans="1:61" ht="15.75" thickTop="1">
      <c r="A10" s="44" t="s">
        <v>96</v>
      </c>
      <c r="B10" s="62">
        <v>29000</v>
      </c>
      <c r="C10" s="63" t="s">
        <v>97</v>
      </c>
      <c r="D10" s="64">
        <f>B10/0.1450377229</f>
        <v>199947.98194670223</v>
      </c>
      <c r="E10" s="15"/>
      <c r="F10" s="15"/>
      <c r="G10" s="16"/>
      <c r="H10" s="29"/>
      <c r="I10" s="5" t="s">
        <v>98</v>
      </c>
      <c r="J10" s="18">
        <f>VLOOKUP(B2,N2:AZ376,33,FALSE)</f>
        <v>1465</v>
      </c>
      <c r="K10" s="5" t="s">
        <v>99</v>
      </c>
      <c r="N10" s="30" t="s">
        <v>100</v>
      </c>
      <c r="O10" s="31">
        <v>24.6</v>
      </c>
      <c r="P10" s="32">
        <v>12.3</v>
      </c>
      <c r="Q10" s="32">
        <v>0.68500000000000005</v>
      </c>
      <c r="R10" s="32">
        <v>12.3</v>
      </c>
      <c r="S10" s="32">
        <v>0.68500000000000005</v>
      </c>
      <c r="T10" s="31">
        <v>1.375</v>
      </c>
      <c r="U10" s="33">
        <v>1</v>
      </c>
      <c r="V10" s="31">
        <v>8.9700000000000006</v>
      </c>
      <c r="W10" s="34">
        <v>52.5</v>
      </c>
      <c r="X10" s="35">
        <f t="shared" si="0"/>
        <v>15.956204379562042</v>
      </c>
      <c r="Y10" s="36">
        <f t="shared" si="1"/>
        <v>3.4161071025143599</v>
      </c>
      <c r="Z10" s="34">
        <v>1.46</v>
      </c>
      <c r="AA10" s="31">
        <v>650</v>
      </c>
      <c r="AB10" s="32">
        <v>106</v>
      </c>
      <c r="AC10" s="31">
        <v>5.14</v>
      </c>
      <c r="AD10" s="31">
        <v>213</v>
      </c>
      <c r="AE10" s="32">
        <v>34.6</v>
      </c>
      <c r="AF10" s="31">
        <v>2.94</v>
      </c>
      <c r="AG10" s="37">
        <v>120</v>
      </c>
      <c r="AH10" s="31">
        <v>53.2</v>
      </c>
      <c r="AI10" s="37">
        <v>4.24</v>
      </c>
      <c r="AJ10" s="31">
        <v>7160</v>
      </c>
      <c r="AK10" s="31">
        <v>35.6</v>
      </c>
      <c r="AL10" s="31">
        <v>75</v>
      </c>
      <c r="AM10" s="31">
        <v>23.1</v>
      </c>
      <c r="AN10" s="31">
        <v>59</v>
      </c>
      <c r="AO10" s="38" t="s">
        <v>101</v>
      </c>
      <c r="AP10" s="39" t="s">
        <v>69</v>
      </c>
      <c r="AQ10" s="40">
        <f t="shared" si="2"/>
        <v>124.61605397700572</v>
      </c>
      <c r="AR10" s="41">
        <f t="shared" si="12"/>
        <v>11.615</v>
      </c>
      <c r="AS10" s="37">
        <f t="shared" si="3"/>
        <v>496.83812387728625</v>
      </c>
      <c r="AT10" s="42">
        <f t="shared" si="4"/>
        <v>6000</v>
      </c>
      <c r="AU10" s="31">
        <f t="shared" si="5"/>
        <v>3710</v>
      </c>
      <c r="AV10" s="31">
        <f t="shared" si="6"/>
        <v>6.152241323609581</v>
      </c>
      <c r="AW10" s="37">
        <f t="shared" si="7"/>
        <v>13774.442925197331</v>
      </c>
      <c r="AX10" s="31">
        <f t="shared" si="8"/>
        <v>124.61605397700572</v>
      </c>
      <c r="AY10" s="42">
        <f t="shared" si="9"/>
        <v>6670.6930722141869</v>
      </c>
      <c r="AZ10" s="42">
        <f t="shared" si="13"/>
        <v>1460090.9500709171</v>
      </c>
      <c r="BA10" s="42">
        <f t="shared" si="10"/>
        <v>6676.5923664351567</v>
      </c>
      <c r="BB10" s="42">
        <f t="shared" si="11"/>
        <v>2660</v>
      </c>
      <c r="BC10" s="38">
        <f t="shared" si="14"/>
        <v>10.925000000000001</v>
      </c>
      <c r="BD10" s="38">
        <f t="shared" si="15"/>
        <v>15.948905109489051</v>
      </c>
      <c r="BE10" s="38">
        <f t="shared" si="16"/>
        <v>8.4255000000000013</v>
      </c>
      <c r="BH10" s="34">
        <v>17.899999999999999</v>
      </c>
      <c r="BI10" s="43">
        <v>3.29</v>
      </c>
    </row>
    <row r="11" spans="1:61">
      <c r="A11" s="48" t="s">
        <v>102</v>
      </c>
      <c r="B11" s="65">
        <v>50</v>
      </c>
      <c r="C11" s="66" t="s">
        <v>103</v>
      </c>
      <c r="D11" s="67">
        <f>B11/0.1450377229</f>
        <v>344.73789990810729</v>
      </c>
      <c r="E11" s="15"/>
      <c r="F11" s="15"/>
      <c r="G11" s="16"/>
      <c r="H11" s="29"/>
      <c r="I11" s="5" t="s">
        <v>104</v>
      </c>
      <c r="J11" s="18">
        <f>VLOOKUP(B2,N2:AZ376,34,FALSE)</f>
        <v>889</v>
      </c>
      <c r="K11" s="5" t="s">
        <v>99</v>
      </c>
      <c r="N11" s="30" t="s">
        <v>105</v>
      </c>
      <c r="O11" s="31">
        <v>21.8</v>
      </c>
      <c r="P11" s="32">
        <v>12.1</v>
      </c>
      <c r="Q11" s="32">
        <v>0.60499999999999998</v>
      </c>
      <c r="R11" s="32">
        <v>12.2</v>
      </c>
      <c r="S11" s="32">
        <v>0.61</v>
      </c>
      <c r="T11" s="68">
        <v>1.3125</v>
      </c>
      <c r="U11" s="33">
        <v>0.9375</v>
      </c>
      <c r="V11" s="31">
        <v>10</v>
      </c>
      <c r="W11" s="34">
        <v>42.1</v>
      </c>
      <c r="X11" s="35">
        <f t="shared" si="0"/>
        <v>17.983471074380166</v>
      </c>
      <c r="Y11" s="36">
        <f t="shared" si="1"/>
        <v>3.3752043292802769</v>
      </c>
      <c r="Z11" s="34">
        <v>1.63</v>
      </c>
      <c r="AA11" s="31">
        <v>569</v>
      </c>
      <c r="AB11" s="32">
        <v>93.8</v>
      </c>
      <c r="AC11" s="31">
        <v>5.1100000000000003</v>
      </c>
      <c r="AD11" s="31">
        <v>186</v>
      </c>
      <c r="AE11" s="32">
        <v>30.4</v>
      </c>
      <c r="AF11" s="31">
        <v>2.92</v>
      </c>
      <c r="AG11" s="37">
        <v>105</v>
      </c>
      <c r="AH11" s="31">
        <v>46.6</v>
      </c>
      <c r="AI11" s="37">
        <v>2.98</v>
      </c>
      <c r="AJ11" s="31">
        <v>6170</v>
      </c>
      <c r="AK11" s="31">
        <v>35.200000000000003</v>
      </c>
      <c r="AL11" s="31">
        <v>65.5</v>
      </c>
      <c r="AM11" s="31">
        <v>20.399999999999999</v>
      </c>
      <c r="AN11" s="31">
        <v>51.9</v>
      </c>
      <c r="AO11" s="38" t="s">
        <v>101</v>
      </c>
      <c r="AP11" s="39" t="s">
        <v>69</v>
      </c>
      <c r="AQ11" s="40">
        <f t="shared" si="2"/>
        <v>123.76832571865873</v>
      </c>
      <c r="AR11" s="41">
        <f t="shared" si="12"/>
        <v>11.49</v>
      </c>
      <c r="AS11" s="37">
        <f t="shared" si="3"/>
        <v>454.5407710334145</v>
      </c>
      <c r="AT11" s="42">
        <f t="shared" si="4"/>
        <v>5250</v>
      </c>
      <c r="AU11" s="31">
        <f t="shared" si="5"/>
        <v>3283</v>
      </c>
      <c r="AV11" s="31">
        <f t="shared" si="6"/>
        <v>5.9466863938084265</v>
      </c>
      <c r="AW11" s="37">
        <f t="shared" si="7"/>
        <v>13439.910136521385</v>
      </c>
      <c r="AX11" s="31">
        <f t="shared" si="8"/>
        <v>123.76832571865873</v>
      </c>
      <c r="AY11" s="42">
        <f t="shared" si="9"/>
        <v>5893.2431107921857</v>
      </c>
      <c r="AZ11" s="42">
        <f t="shared" si="13"/>
        <v>1260663.5708057059</v>
      </c>
      <c r="BA11" s="42">
        <f t="shared" si="10"/>
        <v>5831.1603426977963</v>
      </c>
      <c r="BB11" s="42">
        <f t="shared" si="11"/>
        <v>2330</v>
      </c>
      <c r="BC11" s="38">
        <f t="shared" si="14"/>
        <v>10.7875</v>
      </c>
      <c r="BD11" s="38">
        <f t="shared" si="15"/>
        <v>17.830578512396695</v>
      </c>
      <c r="BE11" s="38">
        <f t="shared" si="16"/>
        <v>7.3205</v>
      </c>
      <c r="BH11" s="34">
        <v>20</v>
      </c>
      <c r="BI11" s="43">
        <v>3.26</v>
      </c>
    </row>
    <row r="12" spans="1:61" ht="15.75" thickBot="1">
      <c r="A12" s="69" t="s">
        <v>106</v>
      </c>
      <c r="B12" s="70">
        <f>490*B7/12^2</f>
        <v>22.05</v>
      </c>
      <c r="C12" s="71" t="s">
        <v>107</v>
      </c>
      <c r="D12" s="72">
        <f>78.5*D7/1000000</f>
        <v>0.32817998879999999</v>
      </c>
      <c r="E12" s="15"/>
      <c r="F12" s="16"/>
      <c r="G12" s="16"/>
      <c r="H12" s="29"/>
      <c r="I12" s="5" t="s">
        <v>108</v>
      </c>
      <c r="J12" s="5">
        <f>VLOOKUP(B2,N2:BB376,41,FALSE)</f>
        <v>183</v>
      </c>
      <c r="K12" s="5" t="s">
        <v>99</v>
      </c>
      <c r="N12" s="30" t="s">
        <v>109</v>
      </c>
      <c r="O12" s="31">
        <v>18.399999999999999</v>
      </c>
      <c r="P12" s="32">
        <v>11.9</v>
      </c>
      <c r="Q12" s="32">
        <v>0.51500000000000001</v>
      </c>
      <c r="R12" s="32">
        <v>12.1</v>
      </c>
      <c r="S12" s="32">
        <v>0.51500000000000001</v>
      </c>
      <c r="T12" s="31">
        <v>1.25</v>
      </c>
      <c r="U12" s="33">
        <v>0.875</v>
      </c>
      <c r="V12" s="31">
        <v>11.8</v>
      </c>
      <c r="W12" s="34">
        <v>30.5</v>
      </c>
      <c r="X12" s="35">
        <f t="shared" si="0"/>
        <v>21.106796116504857</v>
      </c>
      <c r="Y12" s="36">
        <f t="shared" si="1"/>
        <v>3.3182491613559471</v>
      </c>
      <c r="Z12" s="34">
        <v>1.91</v>
      </c>
      <c r="AA12" s="31">
        <v>472</v>
      </c>
      <c r="AB12" s="32">
        <v>79.099999999999994</v>
      </c>
      <c r="AC12" s="31">
        <v>5.0599999999999996</v>
      </c>
      <c r="AD12" s="31">
        <v>153</v>
      </c>
      <c r="AE12" s="32">
        <v>25.3</v>
      </c>
      <c r="AF12" s="31">
        <v>2.88</v>
      </c>
      <c r="AG12" s="37">
        <v>88.3</v>
      </c>
      <c r="AH12" s="31">
        <v>38.700000000000003</v>
      </c>
      <c r="AI12" s="37">
        <v>1.83</v>
      </c>
      <c r="AJ12" s="31">
        <v>4990</v>
      </c>
      <c r="AK12" s="31">
        <v>34.6</v>
      </c>
      <c r="AL12" s="31">
        <v>54.1</v>
      </c>
      <c r="AM12" s="31">
        <v>17.100000000000001</v>
      </c>
      <c r="AN12" s="31">
        <v>43.3</v>
      </c>
      <c r="AO12" s="38" t="s">
        <v>101</v>
      </c>
      <c r="AP12" s="39" t="s">
        <v>69</v>
      </c>
      <c r="AQ12" s="40">
        <f t="shared" si="2"/>
        <v>122.07286920196476</v>
      </c>
      <c r="AR12" s="41">
        <f t="shared" si="12"/>
        <v>11.385</v>
      </c>
      <c r="AS12" s="37">
        <f t="shared" si="3"/>
        <v>407.26902128650499</v>
      </c>
      <c r="AT12" s="42">
        <f t="shared" si="4"/>
        <v>4415</v>
      </c>
      <c r="AU12" s="31">
        <f t="shared" si="5"/>
        <v>2768.5</v>
      </c>
      <c r="AV12" s="31">
        <f t="shared" si="6"/>
        <v>5.7732195471975745</v>
      </c>
      <c r="AW12" s="37">
        <f t="shared" si="7"/>
        <v>12983.011882923114</v>
      </c>
      <c r="AX12" s="31">
        <f t="shared" si="8"/>
        <v>122.07286920196476</v>
      </c>
      <c r="AY12" s="42">
        <f t="shared" si="9"/>
        <v>5029.6912497229932</v>
      </c>
      <c r="AZ12" s="42">
        <f t="shared" si="13"/>
        <v>1026956.2399392183</v>
      </c>
      <c r="BA12" s="42">
        <f t="shared" si="10"/>
        <v>4901.4669569150592</v>
      </c>
      <c r="BB12" s="42">
        <f t="shared" si="11"/>
        <v>1935.0000000000002</v>
      </c>
      <c r="BC12" s="38">
        <f t="shared" si="14"/>
        <v>10.65</v>
      </c>
      <c r="BD12" s="38">
        <f t="shared" si="15"/>
        <v>20.679611650485437</v>
      </c>
      <c r="BE12" s="38">
        <f t="shared" si="16"/>
        <v>6.1285000000000007</v>
      </c>
      <c r="BH12" s="34">
        <v>23.2</v>
      </c>
      <c r="BI12" s="43">
        <v>3.23</v>
      </c>
    </row>
    <row r="13" spans="1:61" ht="16.5" thickTop="1" thickBot="1">
      <c r="A13" s="61"/>
      <c r="B13" s="19"/>
      <c r="C13" s="16"/>
      <c r="D13" s="15"/>
      <c r="E13" s="15"/>
      <c r="F13" s="16"/>
      <c r="G13" s="16"/>
      <c r="H13" s="29"/>
      <c r="I13" s="5" t="s">
        <v>110</v>
      </c>
      <c r="J13" s="18">
        <f>VLOOKUP(B2,N2:AZ376,38,FALSE)</f>
        <v>1623.1959492943317</v>
      </c>
      <c r="K13" s="5" t="s">
        <v>99</v>
      </c>
      <c r="N13" s="30" t="s">
        <v>111</v>
      </c>
      <c r="O13" s="31">
        <v>15.5</v>
      </c>
      <c r="P13" s="32">
        <v>11.8</v>
      </c>
      <c r="Q13" s="32">
        <v>0.435</v>
      </c>
      <c r="R13" s="32">
        <v>12</v>
      </c>
      <c r="S13" s="32">
        <v>0.435</v>
      </c>
      <c r="T13" s="31">
        <v>1.125</v>
      </c>
      <c r="U13" s="33">
        <v>0.875</v>
      </c>
      <c r="V13" s="31">
        <v>13.8</v>
      </c>
      <c r="W13" s="34">
        <v>22</v>
      </c>
      <c r="X13" s="35">
        <f t="shared" si="0"/>
        <v>25.1264367816092</v>
      </c>
      <c r="Y13" s="36">
        <f t="shared" si="1"/>
        <v>3.2893392381583499</v>
      </c>
      <c r="Z13" s="34">
        <v>2.25</v>
      </c>
      <c r="AA13" s="31">
        <v>393</v>
      </c>
      <c r="AB13" s="32">
        <v>66.7</v>
      </c>
      <c r="AC13" s="31">
        <v>5.03</v>
      </c>
      <c r="AD13" s="31">
        <v>127</v>
      </c>
      <c r="AE13" s="32">
        <v>21.1</v>
      </c>
      <c r="AF13" s="31">
        <v>2.86</v>
      </c>
      <c r="AG13" s="37">
        <v>74</v>
      </c>
      <c r="AH13" s="31">
        <v>32.200000000000003</v>
      </c>
      <c r="AI13" s="37">
        <v>1.1200000000000001</v>
      </c>
      <c r="AJ13" s="31">
        <v>4090</v>
      </c>
      <c r="AK13" s="31">
        <v>34.200000000000003</v>
      </c>
      <c r="AL13" s="31">
        <v>44.7</v>
      </c>
      <c r="AM13" s="31">
        <v>14.3</v>
      </c>
      <c r="AN13" s="31">
        <v>36.200000000000003</v>
      </c>
      <c r="AO13" s="38" t="s">
        <v>101</v>
      </c>
      <c r="AP13" s="39" t="s">
        <v>69</v>
      </c>
      <c r="AQ13" s="40">
        <f t="shared" si="2"/>
        <v>121.2251409436178</v>
      </c>
      <c r="AR13" s="41">
        <f t="shared" si="12"/>
        <v>11.365</v>
      </c>
      <c r="AS13" s="37">
        <f t="shared" si="3"/>
        <v>373.76079084042448</v>
      </c>
      <c r="AT13" s="42">
        <f t="shared" si="4"/>
        <v>3700</v>
      </c>
      <c r="AU13" s="31">
        <f t="shared" si="5"/>
        <v>2334.5</v>
      </c>
      <c r="AV13" s="31">
        <f t="shared" si="6"/>
        <v>5.407157367912145</v>
      </c>
      <c r="AW13" s="37">
        <f t="shared" si="7"/>
        <v>12751.977862685604</v>
      </c>
      <c r="AX13" s="31">
        <f t="shared" si="8"/>
        <v>121.2251409436178</v>
      </c>
      <c r="AY13" s="42">
        <f t="shared" si="9"/>
        <v>4271.1317590900417</v>
      </c>
      <c r="AZ13" s="42">
        <f t="shared" si="13"/>
        <v>850556.92344112985</v>
      </c>
      <c r="BA13" s="42">
        <f t="shared" si="10"/>
        <v>4103.4440508153739</v>
      </c>
      <c r="BB13" s="42">
        <f t="shared" si="11"/>
        <v>1610.0000000000002</v>
      </c>
      <c r="BC13" s="38">
        <f t="shared" si="14"/>
        <v>10.675000000000001</v>
      </c>
      <c r="BD13" s="38">
        <f t="shared" si="15"/>
        <v>24.540229885057474</v>
      </c>
      <c r="BE13" s="38">
        <f t="shared" si="16"/>
        <v>5.133</v>
      </c>
      <c r="BH13" s="34">
        <v>27.1</v>
      </c>
      <c r="BI13" s="43">
        <v>3.2</v>
      </c>
    </row>
    <row r="14" spans="1:61" ht="16.5" thickTop="1" thickBot="1">
      <c r="A14" s="178" t="s">
        <v>112</v>
      </c>
      <c r="B14" s="179"/>
      <c r="C14" s="16"/>
      <c r="D14" s="15"/>
      <c r="E14" s="15"/>
      <c r="F14" s="15"/>
      <c r="G14" s="16"/>
      <c r="H14" s="29"/>
      <c r="I14" s="5" t="s">
        <v>113</v>
      </c>
      <c r="J14" s="18">
        <f>VLOOKUP(B2,N2:AZ376,39,FALSE)</f>
        <v>32842.225606210603</v>
      </c>
      <c r="K14" s="5" t="s">
        <v>99</v>
      </c>
      <c r="N14" s="30" t="s">
        <v>114</v>
      </c>
      <c r="O14" s="31">
        <v>16.8</v>
      </c>
      <c r="P14" s="32">
        <v>9.99</v>
      </c>
      <c r="Q14" s="32">
        <v>0.56499999999999995</v>
      </c>
      <c r="R14" s="32">
        <v>10.199999999999999</v>
      </c>
      <c r="S14" s="32">
        <v>0.56499999999999995</v>
      </c>
      <c r="T14" s="31">
        <v>1.25</v>
      </c>
      <c r="U14" s="33">
        <v>0.8125</v>
      </c>
      <c r="V14" s="31">
        <v>9.0500000000000007</v>
      </c>
      <c r="W14" s="34">
        <v>51.6</v>
      </c>
      <c r="X14" s="35">
        <f t="shared" si="0"/>
        <v>15.68141592920354</v>
      </c>
      <c r="Y14" s="36">
        <f t="shared" si="1"/>
        <v>2.8451011124626233</v>
      </c>
      <c r="Z14" s="34">
        <v>1.73</v>
      </c>
      <c r="AA14" s="31">
        <v>294</v>
      </c>
      <c r="AB14" s="32">
        <v>58.8</v>
      </c>
      <c r="AC14" s="31">
        <v>4.18</v>
      </c>
      <c r="AD14" s="31">
        <v>101</v>
      </c>
      <c r="AE14" s="32">
        <v>19.7</v>
      </c>
      <c r="AF14" s="31">
        <v>2.4500000000000002</v>
      </c>
      <c r="AG14" s="37">
        <v>66.5</v>
      </c>
      <c r="AH14" s="31">
        <v>30.3</v>
      </c>
      <c r="AI14" s="37">
        <v>1.97</v>
      </c>
      <c r="AJ14" s="31">
        <v>2240</v>
      </c>
      <c r="AK14" s="31">
        <v>24.1</v>
      </c>
      <c r="AL14" s="31">
        <v>34.799999999999997</v>
      </c>
      <c r="AM14" s="31">
        <v>12.9</v>
      </c>
      <c r="AN14" s="31">
        <v>32.799999999999997</v>
      </c>
      <c r="AO14" s="38" t="s">
        <v>115</v>
      </c>
      <c r="AP14" s="39" t="s">
        <v>69</v>
      </c>
      <c r="AQ14" s="40">
        <f t="shared" si="2"/>
        <v>103.84671164750476</v>
      </c>
      <c r="AR14" s="41">
        <f t="shared" si="12"/>
        <v>9.4250000000000007</v>
      </c>
      <c r="AS14" s="37">
        <f t="shared" si="3"/>
        <v>418.70242487755138</v>
      </c>
      <c r="AT14" s="42">
        <f t="shared" si="4"/>
        <v>3325</v>
      </c>
      <c r="AU14" s="31">
        <f t="shared" si="5"/>
        <v>2058</v>
      </c>
      <c r="AV14" s="31">
        <f t="shared" si="6"/>
        <v>4.0240654584351701</v>
      </c>
      <c r="AW14" s="37">
        <f t="shared" si="7"/>
        <v>9567.4482722928842</v>
      </c>
      <c r="AX14" s="31">
        <f t="shared" si="8"/>
        <v>103.84671164750476</v>
      </c>
      <c r="AY14" s="42">
        <f t="shared" si="9"/>
        <v>3680.1105441612126</v>
      </c>
      <c r="AZ14" s="42">
        <f t="shared" si="13"/>
        <v>562565.95841082162</v>
      </c>
      <c r="BA14" s="42">
        <f t="shared" si="10"/>
        <v>3699.3417154032068</v>
      </c>
      <c r="BB14" s="42">
        <f t="shared" si="11"/>
        <v>1515</v>
      </c>
      <c r="BC14" s="38">
        <f t="shared" si="14"/>
        <v>8.74</v>
      </c>
      <c r="BD14" s="38">
        <f t="shared" si="15"/>
        <v>15.469026548672568</v>
      </c>
      <c r="BE14" s="38">
        <f t="shared" si="16"/>
        <v>5.6443499999999993</v>
      </c>
      <c r="BH14" s="34">
        <v>17.7</v>
      </c>
      <c r="BI14" s="43">
        <v>2.74</v>
      </c>
    </row>
    <row r="15" spans="1:61" ht="15.75" thickTop="1">
      <c r="A15" s="73" t="s">
        <v>116</v>
      </c>
      <c r="B15" s="74">
        <v>16</v>
      </c>
      <c r="C15" s="15"/>
      <c r="D15" s="15"/>
      <c r="E15" s="15"/>
      <c r="F15" s="15"/>
      <c r="G15" s="16"/>
      <c r="H15" s="29"/>
      <c r="I15" s="5" t="s">
        <v>117</v>
      </c>
      <c r="J15" s="18">
        <f>IF(B20&gt;L9,J14*0.9/12,J13*0.9/12)</f>
        <v>121.73969619707488</v>
      </c>
      <c r="K15" s="5" t="s">
        <v>118</v>
      </c>
      <c r="N15" s="30" t="s">
        <v>119</v>
      </c>
      <c r="O15" s="31">
        <v>12.4</v>
      </c>
      <c r="P15" s="32">
        <v>9.6999999999999993</v>
      </c>
      <c r="Q15" s="32">
        <v>0.41499999999999998</v>
      </c>
      <c r="R15" s="32">
        <v>10.1</v>
      </c>
      <c r="S15" s="32">
        <v>0.42</v>
      </c>
      <c r="T15" s="31">
        <v>1.125</v>
      </c>
      <c r="U15" s="33">
        <v>0.75</v>
      </c>
      <c r="V15" s="31">
        <v>12</v>
      </c>
      <c r="W15" s="34">
        <v>29.4</v>
      </c>
      <c r="X15" s="35">
        <f t="shared" si="0"/>
        <v>21.349397590361445</v>
      </c>
      <c r="Y15" s="36">
        <f t="shared" si="1"/>
        <v>2.7686859915518891</v>
      </c>
      <c r="Z15" s="34">
        <v>2.29</v>
      </c>
      <c r="AA15" s="31">
        <v>210</v>
      </c>
      <c r="AB15" s="32">
        <v>43.4</v>
      </c>
      <c r="AC15" s="31">
        <v>4.13</v>
      </c>
      <c r="AD15" s="31">
        <v>71.7</v>
      </c>
      <c r="AE15" s="32">
        <v>14.2</v>
      </c>
      <c r="AF15" s="31">
        <v>2.41</v>
      </c>
      <c r="AG15" s="37">
        <v>48.3</v>
      </c>
      <c r="AH15" s="31">
        <v>21.8</v>
      </c>
      <c r="AI15" s="37">
        <v>0.81299999999999994</v>
      </c>
      <c r="AJ15" s="31">
        <v>1540</v>
      </c>
      <c r="AK15" s="31">
        <v>23.4</v>
      </c>
      <c r="AL15" s="31">
        <v>24.7</v>
      </c>
      <c r="AM15" s="31">
        <v>9.41</v>
      </c>
      <c r="AN15" s="31">
        <v>23.7</v>
      </c>
      <c r="AO15" s="38" t="s">
        <v>115</v>
      </c>
      <c r="AP15" s="39" t="s">
        <v>69</v>
      </c>
      <c r="AQ15" s="40">
        <f t="shared" si="2"/>
        <v>102.15125513081081</v>
      </c>
      <c r="AR15" s="41">
        <f t="shared" si="12"/>
        <v>9.2799999999999994</v>
      </c>
      <c r="AS15" s="37">
        <f t="shared" si="3"/>
        <v>339.20544985394469</v>
      </c>
      <c r="AT15" s="42">
        <f t="shared" si="4"/>
        <v>2415</v>
      </c>
      <c r="AU15" s="31">
        <f t="shared" si="5"/>
        <v>1519</v>
      </c>
      <c r="AV15" s="31">
        <f t="shared" si="6"/>
        <v>3.7797264083281807</v>
      </c>
      <c r="AW15" s="37">
        <f t="shared" si="7"/>
        <v>9045.4092335877758</v>
      </c>
      <c r="AX15" s="31">
        <f t="shared" si="8"/>
        <v>102.15125513081081</v>
      </c>
      <c r="AY15" s="42">
        <f t="shared" si="9"/>
        <v>2742.1400646918755</v>
      </c>
      <c r="AZ15" s="42">
        <f t="shared" si="13"/>
        <v>392570.76073770947</v>
      </c>
      <c r="BA15" s="42">
        <f t="shared" si="10"/>
        <v>2679.7278429370745</v>
      </c>
      <c r="BB15" s="42">
        <f t="shared" si="11"/>
        <v>1090</v>
      </c>
      <c r="BC15" s="38">
        <f t="shared" si="14"/>
        <v>8.5749999999999993</v>
      </c>
      <c r="BD15" s="38">
        <f t="shared" si="15"/>
        <v>20.662650602409638</v>
      </c>
      <c r="BE15" s="38">
        <f t="shared" si="16"/>
        <v>4.0254999999999992</v>
      </c>
      <c r="BH15" s="34">
        <v>23.4</v>
      </c>
      <c r="BI15" s="43">
        <v>2.69</v>
      </c>
    </row>
    <row r="16" spans="1:61" ht="15.75" thickBot="1">
      <c r="A16" s="75" t="s">
        <v>120</v>
      </c>
      <c r="B16" s="76">
        <v>0</v>
      </c>
      <c r="C16" s="15"/>
      <c r="D16" s="15"/>
      <c r="E16" s="15"/>
      <c r="F16" s="15"/>
      <c r="G16" s="16"/>
      <c r="H16" s="29"/>
      <c r="I16" s="5" t="s">
        <v>121</v>
      </c>
      <c r="J16" s="18">
        <f>IF(B20&lt;=L8,B31,J15)</f>
        <v>109.875</v>
      </c>
      <c r="K16" s="5" t="s">
        <v>118</v>
      </c>
      <c r="N16" s="30" t="s">
        <v>122</v>
      </c>
      <c r="O16" s="31">
        <v>10.6</v>
      </c>
      <c r="P16" s="32">
        <v>8.02</v>
      </c>
      <c r="Q16" s="32">
        <v>0.44500000000000001</v>
      </c>
      <c r="R16" s="32">
        <v>8.15</v>
      </c>
      <c r="S16" s="32">
        <v>0.44500000000000001</v>
      </c>
      <c r="T16" s="31">
        <v>1.125</v>
      </c>
      <c r="U16" s="33">
        <v>0.625</v>
      </c>
      <c r="V16" s="31">
        <v>9.16</v>
      </c>
      <c r="W16" s="34">
        <v>50.3</v>
      </c>
      <c r="X16" s="35">
        <f t="shared" si="0"/>
        <v>16.022471910112358</v>
      </c>
      <c r="Y16" s="36">
        <f t="shared" si="1"/>
        <v>2.2631884172734127</v>
      </c>
      <c r="Z16" s="34">
        <v>2.21</v>
      </c>
      <c r="AA16" s="31">
        <v>119</v>
      </c>
      <c r="AB16" s="32">
        <v>29.8</v>
      </c>
      <c r="AC16" s="31">
        <v>3.36</v>
      </c>
      <c r="AD16" s="31">
        <v>40.299999999999997</v>
      </c>
      <c r="AE16" s="32">
        <v>9.8800000000000008</v>
      </c>
      <c r="AF16" s="31">
        <v>1.95</v>
      </c>
      <c r="AG16" s="37">
        <v>33.6</v>
      </c>
      <c r="AH16" s="31">
        <v>15.2</v>
      </c>
      <c r="AI16" s="37">
        <v>0.77</v>
      </c>
      <c r="AJ16" s="31">
        <v>578</v>
      </c>
      <c r="AK16" s="31">
        <v>15.4</v>
      </c>
      <c r="AL16" s="31">
        <v>14</v>
      </c>
      <c r="AM16" s="31">
        <v>6.5</v>
      </c>
      <c r="AN16" s="31">
        <v>16.600000000000001</v>
      </c>
      <c r="AO16" s="38" t="s">
        <v>123</v>
      </c>
      <c r="AP16" s="39" t="s">
        <v>69</v>
      </c>
      <c r="AQ16" s="40">
        <f t="shared" si="2"/>
        <v>82.653505188830323</v>
      </c>
      <c r="AR16" s="41">
        <f t="shared" si="12"/>
        <v>7.5749999999999993</v>
      </c>
      <c r="AS16" s="37">
        <f t="shared" si="3"/>
        <v>328.00017883195721</v>
      </c>
      <c r="AT16" s="42">
        <f t="shared" si="4"/>
        <v>1680</v>
      </c>
      <c r="AU16" s="31">
        <f t="shared" si="5"/>
        <v>1043</v>
      </c>
      <c r="AV16" s="31">
        <f t="shared" si="6"/>
        <v>2.596326212788028</v>
      </c>
      <c r="AW16" s="37">
        <f t="shared" si="7"/>
        <v>6066.9070286580281</v>
      </c>
      <c r="AX16" s="31">
        <f t="shared" si="8"/>
        <v>82.653505188830323</v>
      </c>
      <c r="AY16" s="42">
        <f t="shared" si="9"/>
        <v>1854.0927731810782</v>
      </c>
      <c r="AZ16" s="42">
        <f t="shared" si="13"/>
        <v>180793.82945400925</v>
      </c>
      <c r="BA16" s="42">
        <f t="shared" si="10"/>
        <v>1868.2049508380762</v>
      </c>
      <c r="BB16" s="42">
        <f t="shared" si="11"/>
        <v>760</v>
      </c>
      <c r="BC16" s="38">
        <f t="shared" si="14"/>
        <v>6.8949999999999996</v>
      </c>
      <c r="BD16" s="38">
        <f t="shared" si="15"/>
        <v>15.494382022471909</v>
      </c>
      <c r="BE16" s="38">
        <f t="shared" si="16"/>
        <v>3.5688999999999997</v>
      </c>
      <c r="BH16" s="34">
        <v>18</v>
      </c>
      <c r="BI16" s="43">
        <v>2.1800000000000002</v>
      </c>
    </row>
    <row r="17" spans="1:61" ht="16.5" thickTop="1" thickBot="1">
      <c r="A17" s="77" t="s">
        <v>124</v>
      </c>
      <c r="B17" s="78">
        <v>4</v>
      </c>
      <c r="C17" s="15"/>
      <c r="D17" s="15"/>
      <c r="E17" s="15"/>
      <c r="F17" s="15"/>
      <c r="G17" s="180" t="s">
        <v>125</v>
      </c>
      <c r="H17" s="181"/>
      <c r="I17"/>
      <c r="J17" s="79">
        <f>(B37-B35)/(B36-B35)</f>
        <v>-0.29545518184941333</v>
      </c>
      <c r="N17" s="52" t="s">
        <v>126</v>
      </c>
      <c r="O17" s="53">
        <v>5.0999999999999996</v>
      </c>
      <c r="P17" s="54">
        <v>14</v>
      </c>
      <c r="Q17" s="54">
        <v>0.215</v>
      </c>
      <c r="R17" s="54">
        <v>4</v>
      </c>
      <c r="S17" s="54">
        <v>0.27</v>
      </c>
      <c r="T17" s="53">
        <v>0.625</v>
      </c>
      <c r="U17" s="57" t="s">
        <v>127</v>
      </c>
      <c r="V17" s="53">
        <v>7.4</v>
      </c>
      <c r="W17" s="57" t="s">
        <v>127</v>
      </c>
      <c r="X17" s="56">
        <f t="shared" si="0"/>
        <v>62.604651162790702</v>
      </c>
      <c r="Y17" s="56">
        <f t="shared" si="1"/>
        <v>0.92678929030583446</v>
      </c>
      <c r="Z17" s="53">
        <v>13</v>
      </c>
      <c r="AA17" s="53">
        <v>148</v>
      </c>
      <c r="AB17" s="54">
        <v>21.1</v>
      </c>
      <c r="AC17" s="53">
        <v>5.38</v>
      </c>
      <c r="AD17" s="53">
        <v>2.64</v>
      </c>
      <c r="AE17" s="54">
        <v>1.32</v>
      </c>
      <c r="AF17" s="53">
        <v>0.71899999999999997</v>
      </c>
      <c r="AG17" s="53">
        <v>24.9</v>
      </c>
      <c r="AH17" s="53">
        <v>2.2000000000000002</v>
      </c>
      <c r="AI17" s="53">
        <v>0.11</v>
      </c>
      <c r="AJ17" s="53">
        <v>124</v>
      </c>
      <c r="AK17" s="53">
        <v>13.7</v>
      </c>
      <c r="AL17" s="53">
        <v>3.71</v>
      </c>
      <c r="AM17" s="53">
        <v>3.6</v>
      </c>
      <c r="AN17" s="53">
        <v>12.4</v>
      </c>
      <c r="AO17" s="57" t="s">
        <v>128</v>
      </c>
      <c r="AP17" s="58" t="s">
        <v>129</v>
      </c>
      <c r="AQ17" s="40">
        <f t="shared" si="2"/>
        <v>30.475830887573842</v>
      </c>
      <c r="AR17" s="41">
        <f t="shared" si="12"/>
        <v>13.73</v>
      </c>
      <c r="AS17" s="37">
        <f t="shared" si="3"/>
        <v>89.100275123151263</v>
      </c>
      <c r="AT17" s="42">
        <f t="shared" si="4"/>
        <v>1245</v>
      </c>
      <c r="AU17" s="59">
        <f t="shared" si="5"/>
        <v>738.5</v>
      </c>
      <c r="AV17" s="59">
        <f t="shared" si="6"/>
        <v>8.6397407532713171</v>
      </c>
      <c r="AW17" s="59">
        <f t="shared" si="7"/>
        <v>1015.253764997039</v>
      </c>
      <c r="AX17" s="59">
        <f t="shared" si="8"/>
        <v>30.475830887573842</v>
      </c>
      <c r="AY17" s="60">
        <f t="shared" si="9"/>
        <v>1373.523322358144</v>
      </c>
      <c r="AZ17" s="60">
        <f t="shared" si="13"/>
        <v>21421.854441437525</v>
      </c>
      <c r="BA17" s="60">
        <f t="shared" si="10"/>
        <v>1394.6480496067279</v>
      </c>
      <c r="BB17" s="42">
        <f t="shared" si="11"/>
        <v>110.00000000000001</v>
      </c>
      <c r="BC17" s="38">
        <f t="shared" si="14"/>
        <v>13.375</v>
      </c>
      <c r="BD17" s="38">
        <f t="shared" si="15"/>
        <v>62.209302325581397</v>
      </c>
      <c r="BE17" s="38">
        <f t="shared" si="16"/>
        <v>3.01</v>
      </c>
      <c r="BH17" s="80">
        <v>65.099000000000004</v>
      </c>
      <c r="BI17" s="81">
        <v>0.91</v>
      </c>
    </row>
    <row r="18" spans="1:61" ht="16.5" thickTop="1" thickBot="1">
      <c r="A18" s="61"/>
      <c r="B18" s="19"/>
      <c r="C18" s="16"/>
      <c r="D18" s="15"/>
      <c r="E18" s="15"/>
      <c r="F18" s="15"/>
      <c r="G18" s="73" t="s">
        <v>130</v>
      </c>
      <c r="H18" s="82" t="s">
        <v>131</v>
      </c>
      <c r="I18" s="5" t="s">
        <v>132</v>
      </c>
      <c r="J18" s="18">
        <f>VLOOKUP(B2,N1:BA376,40,FALSE)</f>
        <v>1635.182184745262</v>
      </c>
      <c r="K18" s="5" t="s">
        <v>99</v>
      </c>
      <c r="N18" s="30" t="s">
        <v>133</v>
      </c>
      <c r="O18" s="31">
        <v>3.47</v>
      </c>
      <c r="P18" s="32">
        <v>12</v>
      </c>
      <c r="Q18" s="32">
        <v>0.17699999999999999</v>
      </c>
      <c r="R18" s="32">
        <v>3.07</v>
      </c>
      <c r="S18" s="32">
        <v>0.22500000000000001</v>
      </c>
      <c r="T18" s="31">
        <v>0.5625</v>
      </c>
      <c r="U18" s="83" t="s">
        <v>127</v>
      </c>
      <c r="V18" s="31">
        <v>6.81</v>
      </c>
      <c r="W18" s="84" t="s">
        <v>127</v>
      </c>
      <c r="X18" s="35">
        <f t="shared" si="0"/>
        <v>65.254237288135599</v>
      </c>
      <c r="Y18" s="36">
        <f t="shared" si="1"/>
        <v>0.73128739220637473</v>
      </c>
      <c r="Z18" s="34">
        <v>17.399999999999999</v>
      </c>
      <c r="AA18" s="31">
        <v>72.2</v>
      </c>
      <c r="AB18" s="32">
        <v>12</v>
      </c>
      <c r="AC18" s="31">
        <v>4.5599999999999996</v>
      </c>
      <c r="AD18" s="31">
        <v>1.0900000000000001</v>
      </c>
      <c r="AE18" s="32">
        <v>0.70899999999999996</v>
      </c>
      <c r="AF18" s="31">
        <v>0.55900000000000005</v>
      </c>
      <c r="AG18" s="37">
        <v>14.3</v>
      </c>
      <c r="AH18" s="31">
        <v>1.1499999999999999</v>
      </c>
      <c r="AI18" s="37">
        <v>0.05</v>
      </c>
      <c r="AJ18" s="31">
        <v>37.799999999999997</v>
      </c>
      <c r="AK18" s="31">
        <v>9.02</v>
      </c>
      <c r="AL18" s="31">
        <v>1.56</v>
      </c>
      <c r="AM18" s="31">
        <v>1.91</v>
      </c>
      <c r="AN18" s="31">
        <v>7.01</v>
      </c>
      <c r="AO18" s="83" t="s">
        <v>134</v>
      </c>
      <c r="AP18" s="39" t="s">
        <v>127</v>
      </c>
      <c r="AQ18" s="40">
        <f t="shared" si="2"/>
        <v>23.694004820798025</v>
      </c>
      <c r="AR18" s="41">
        <f t="shared" si="12"/>
        <v>11.775</v>
      </c>
      <c r="AS18" s="37">
        <f t="shared" si="3"/>
        <v>70.018035833422445</v>
      </c>
      <c r="AT18" s="42">
        <f t="shared" si="4"/>
        <v>715</v>
      </c>
      <c r="AU18" s="31">
        <f t="shared" si="5"/>
        <v>420</v>
      </c>
      <c r="AV18" s="31">
        <f t="shared" si="6"/>
        <v>6.3681850122154824</v>
      </c>
      <c r="AW18" s="37">
        <f t="shared" si="7"/>
        <v>633.40964856772894</v>
      </c>
      <c r="AX18" s="31">
        <f t="shared" si="8"/>
        <v>23.694004820798025</v>
      </c>
      <c r="AY18" s="42">
        <f t="shared" si="9"/>
        <v>766.5441201886058</v>
      </c>
      <c r="AZ18" s="42">
        <f t="shared" si="13"/>
        <v>7600.9157828127472</v>
      </c>
      <c r="BA18" s="42">
        <f t="shared" si="10"/>
        <v>802.15927864557693</v>
      </c>
      <c r="BB18" s="42">
        <f t="shared" si="11"/>
        <v>57.499999999999993</v>
      </c>
      <c r="BC18" s="38">
        <f t="shared" si="14"/>
        <v>11.4375</v>
      </c>
      <c r="BD18" s="38">
        <f t="shared" si="15"/>
        <v>64.618644067796609</v>
      </c>
      <c r="BE18" s="38">
        <f t="shared" si="16"/>
        <v>2.1239999999999997</v>
      </c>
      <c r="BH18" s="34">
        <v>67.8</v>
      </c>
      <c r="BI18" s="43">
        <v>0.68</v>
      </c>
    </row>
    <row r="19" spans="1:61" ht="16.5" thickTop="1" thickBot="1">
      <c r="A19" s="85" t="s">
        <v>135</v>
      </c>
      <c r="B19" s="15"/>
      <c r="C19" s="15"/>
      <c r="D19" s="15"/>
      <c r="E19" s="15"/>
      <c r="F19" s="15"/>
      <c r="G19" s="86">
        <v>5.2</v>
      </c>
      <c r="H19" s="47">
        <f>G19*3.28084</f>
        <v>17.060368</v>
      </c>
      <c r="I19" s="5" t="s">
        <v>136</v>
      </c>
      <c r="J19" s="18">
        <f>MIN(B34,B38)</f>
        <v>0</v>
      </c>
      <c r="K19" s="5" t="s">
        <v>118</v>
      </c>
      <c r="N19" s="30" t="s">
        <v>137</v>
      </c>
      <c r="O19" s="31">
        <v>3.18</v>
      </c>
      <c r="P19" s="32">
        <v>12</v>
      </c>
      <c r="Q19" s="32">
        <v>0.16</v>
      </c>
      <c r="R19" s="32">
        <v>3.07</v>
      </c>
      <c r="S19" s="32">
        <v>0.21</v>
      </c>
      <c r="T19" s="31">
        <v>0.5625</v>
      </c>
      <c r="U19" s="83" t="s">
        <v>127</v>
      </c>
      <c r="V19" s="31">
        <v>7.3</v>
      </c>
      <c r="W19" s="84" t="s">
        <v>127</v>
      </c>
      <c r="X19" s="35">
        <f t="shared" si="0"/>
        <v>72.375</v>
      </c>
      <c r="Y19" s="36">
        <f t="shared" si="1"/>
        <v>0.73238780157228989</v>
      </c>
      <c r="Z19" s="34">
        <v>18.600000000000001</v>
      </c>
      <c r="AA19" s="31">
        <v>66.7</v>
      </c>
      <c r="AB19" s="32">
        <v>11.1</v>
      </c>
      <c r="AC19" s="31">
        <v>4.58</v>
      </c>
      <c r="AD19" s="31">
        <v>1.01</v>
      </c>
      <c r="AE19" s="32">
        <v>0.66100000000000003</v>
      </c>
      <c r="AF19" s="31">
        <v>0.56399999999999995</v>
      </c>
      <c r="AG19" s="37">
        <v>13.2</v>
      </c>
      <c r="AH19" s="31">
        <v>1.07</v>
      </c>
      <c r="AI19" s="37">
        <v>3.9300000000000002E-2</v>
      </c>
      <c r="AJ19" s="31">
        <v>34.9</v>
      </c>
      <c r="AK19" s="31">
        <v>9.01</v>
      </c>
      <c r="AL19" s="31">
        <v>1.45</v>
      </c>
      <c r="AM19" s="31">
        <v>1.79</v>
      </c>
      <c r="AN19" s="31">
        <v>6.45</v>
      </c>
      <c r="AO19" s="83" t="s">
        <v>134</v>
      </c>
      <c r="AP19" s="39" t="s">
        <v>127</v>
      </c>
      <c r="AQ19" s="40">
        <f t="shared" si="2"/>
        <v>23.905936885384765</v>
      </c>
      <c r="AR19" s="41">
        <f t="shared" si="12"/>
        <v>11.79</v>
      </c>
      <c r="AS19" s="37">
        <f t="shared" si="3"/>
        <v>69.530729445903688</v>
      </c>
      <c r="AT19" s="42">
        <f t="shared" si="4"/>
        <v>660</v>
      </c>
      <c r="AU19" s="31">
        <f t="shared" si="5"/>
        <v>388.5</v>
      </c>
      <c r="AV19" s="31">
        <f t="shared" si="6"/>
        <v>5.9507119871256249</v>
      </c>
      <c r="AW19" s="37">
        <f t="shared" si="7"/>
        <v>634.71062839881449</v>
      </c>
      <c r="AX19" s="31">
        <f t="shared" si="8"/>
        <v>23.905936885384765</v>
      </c>
      <c r="AY19" s="42">
        <f t="shared" si="9"/>
        <v>709.42623818816799</v>
      </c>
      <c r="AZ19" s="42">
        <f t="shared" si="13"/>
        <v>7045.2879752268409</v>
      </c>
      <c r="BA19" s="42">
        <f t="shared" si="10"/>
        <v>740.21608187211575</v>
      </c>
      <c r="BB19" s="42">
        <f t="shared" si="11"/>
        <v>53.5</v>
      </c>
      <c r="BC19" s="38">
        <f t="shared" si="14"/>
        <v>11.4375</v>
      </c>
      <c r="BD19" s="38">
        <f t="shared" si="15"/>
        <v>71.484375</v>
      </c>
      <c r="BE19" s="38">
        <f t="shared" si="16"/>
        <v>1.92</v>
      </c>
      <c r="BH19" s="34">
        <v>74.8</v>
      </c>
      <c r="BI19" s="43">
        <v>0.69</v>
      </c>
    </row>
    <row r="20" spans="1:61" ht="16.5" thickTop="1" thickBot="1">
      <c r="A20" s="87" t="s">
        <v>138</v>
      </c>
      <c r="B20" s="88">
        <v>1.3</v>
      </c>
      <c r="C20" s="15"/>
      <c r="D20" s="15"/>
      <c r="E20" s="15"/>
      <c r="F20" s="15"/>
      <c r="G20" s="61"/>
      <c r="H20" s="89"/>
      <c r="I20" s="5" t="s">
        <v>29</v>
      </c>
      <c r="J20" s="18">
        <f>VLOOKUP(B2,N2:BD376,43,FALSE)</f>
        <v>44.519230769230774</v>
      </c>
      <c r="N20" s="30" t="s">
        <v>139</v>
      </c>
      <c r="O20" s="31">
        <v>2.95</v>
      </c>
      <c r="P20" s="32">
        <v>12</v>
      </c>
      <c r="Q20" s="32">
        <v>0.14899999999999999</v>
      </c>
      <c r="R20" s="32">
        <v>3.25</v>
      </c>
      <c r="S20" s="32">
        <v>0.18</v>
      </c>
      <c r="T20" s="31">
        <v>0.5</v>
      </c>
      <c r="U20" s="83" t="s">
        <v>127</v>
      </c>
      <c r="V20" s="31">
        <v>9.0299999999999994</v>
      </c>
      <c r="W20" s="84" t="s">
        <v>127</v>
      </c>
      <c r="X20" s="35">
        <f t="shared" si="0"/>
        <v>78.120805369127524</v>
      </c>
      <c r="Y20" s="36">
        <f t="shared" si="1"/>
        <v>0.76876524375130273</v>
      </c>
      <c r="Z20" s="34">
        <v>20.5</v>
      </c>
      <c r="AA20" s="31">
        <v>61.7</v>
      </c>
      <c r="AB20" s="32">
        <v>10.3</v>
      </c>
      <c r="AC20" s="31">
        <v>4.57</v>
      </c>
      <c r="AD20" s="31">
        <v>1.03</v>
      </c>
      <c r="AE20" s="32">
        <v>0.63600000000000001</v>
      </c>
      <c r="AF20" s="31">
        <v>0.59199999999999997</v>
      </c>
      <c r="AG20" s="37">
        <v>12.2</v>
      </c>
      <c r="AH20" s="31">
        <v>1.02</v>
      </c>
      <c r="AI20" s="37">
        <v>2.92E-2</v>
      </c>
      <c r="AJ20" s="31">
        <v>35.799999999999997</v>
      </c>
      <c r="AK20" s="31">
        <v>9.58</v>
      </c>
      <c r="AL20" s="31">
        <v>1.4</v>
      </c>
      <c r="AM20" s="31">
        <v>1.65</v>
      </c>
      <c r="AN20" s="31">
        <v>5.96</v>
      </c>
      <c r="AO20" s="83" t="s">
        <v>140</v>
      </c>
      <c r="AP20" s="39" t="s">
        <v>127</v>
      </c>
      <c r="AQ20" s="40">
        <f t="shared" si="2"/>
        <v>25.092756447070535</v>
      </c>
      <c r="AR20" s="41">
        <f t="shared" si="12"/>
        <v>11.82</v>
      </c>
      <c r="AS20" s="37">
        <f t="shared" si="3"/>
        <v>72.287173960169511</v>
      </c>
      <c r="AT20" s="42">
        <f t="shared" si="4"/>
        <v>610</v>
      </c>
      <c r="AU20" s="31">
        <f t="shared" si="5"/>
        <v>360.5</v>
      </c>
      <c r="AV20" s="31">
        <f t="shared" si="6"/>
        <v>5.2866422163331164</v>
      </c>
      <c r="AW20" s="37">
        <f t="shared" si="7"/>
        <v>698.31590442405911</v>
      </c>
      <c r="AX20" s="31">
        <f t="shared" si="8"/>
        <v>25.092756447070535</v>
      </c>
      <c r="AY20" s="42">
        <f t="shared" si="9"/>
        <v>660.18480698245139</v>
      </c>
      <c r="AZ20" s="42">
        <f t="shared" si="13"/>
        <v>7192.653815567809</v>
      </c>
      <c r="BA20" s="42">
        <f t="shared" si="10"/>
        <v>683.71606787142866</v>
      </c>
      <c r="BB20" s="42">
        <f t="shared" si="11"/>
        <v>51</v>
      </c>
      <c r="BC20" s="38">
        <f t="shared" si="14"/>
        <v>11.5</v>
      </c>
      <c r="BD20" s="38">
        <f t="shared" si="15"/>
        <v>77.181208053691279</v>
      </c>
      <c r="BE20" s="38">
        <f t="shared" si="16"/>
        <v>1.7879999999999998</v>
      </c>
      <c r="BH20" s="34">
        <v>80.3</v>
      </c>
      <c r="BI20" s="43">
        <v>0.74</v>
      </c>
    </row>
    <row r="21" spans="1:61" ht="16.5" thickTop="1" thickBot="1">
      <c r="A21" s="61"/>
      <c r="B21" s="19"/>
      <c r="C21" s="16"/>
      <c r="D21" s="15"/>
      <c r="E21" s="15"/>
      <c r="F21" s="15"/>
      <c r="G21" s="73" t="s">
        <v>141</v>
      </c>
      <c r="H21" s="82" t="s">
        <v>142</v>
      </c>
      <c r="I21" s="5" t="s">
        <v>143</v>
      </c>
      <c r="J21" s="18">
        <f>VLOOKUP(B2,N2:BE376,44,FALSE)</f>
        <v>3.1980000000000004</v>
      </c>
      <c r="K21" s="5" t="s">
        <v>144</v>
      </c>
      <c r="N21" s="30" t="s">
        <v>145</v>
      </c>
      <c r="O21" s="31">
        <v>2.65</v>
      </c>
      <c r="P21" s="32">
        <v>10</v>
      </c>
      <c r="Q21" s="32">
        <v>0.157</v>
      </c>
      <c r="R21" s="32">
        <v>2.69</v>
      </c>
      <c r="S21" s="32">
        <v>0.20599999999999999</v>
      </c>
      <c r="T21" s="31">
        <v>0.5625</v>
      </c>
      <c r="U21" s="83" t="s">
        <v>127</v>
      </c>
      <c r="V21" s="31">
        <v>6.53</v>
      </c>
      <c r="W21" s="84" t="s">
        <v>127</v>
      </c>
      <c r="X21" s="35">
        <f t="shared" si="0"/>
        <v>61.07006369426751</v>
      </c>
      <c r="Y21" s="36">
        <f t="shared" si="1"/>
        <v>0.64995151394159245</v>
      </c>
      <c r="Z21" s="34">
        <v>18</v>
      </c>
      <c r="AA21" s="31">
        <v>39</v>
      </c>
      <c r="AB21" s="32">
        <v>7.79</v>
      </c>
      <c r="AC21" s="31">
        <v>3.83</v>
      </c>
      <c r="AD21" s="31">
        <v>0.67200000000000004</v>
      </c>
      <c r="AE21" s="32">
        <v>0.5</v>
      </c>
      <c r="AF21" s="31">
        <v>0.503</v>
      </c>
      <c r="AG21" s="37">
        <v>9.2200000000000006</v>
      </c>
      <c r="AH21" s="31">
        <v>0.80900000000000005</v>
      </c>
      <c r="AI21" s="37">
        <v>3.1399999999999997E-2</v>
      </c>
      <c r="AJ21" s="31">
        <v>16.100000000000001</v>
      </c>
      <c r="AK21" s="31">
        <v>6.59</v>
      </c>
      <c r="AL21" s="31">
        <v>0.91200000000000003</v>
      </c>
      <c r="AM21" s="31">
        <v>1.28</v>
      </c>
      <c r="AN21" s="31">
        <v>4.5199999999999996</v>
      </c>
      <c r="AO21" s="83" t="s">
        <v>146</v>
      </c>
      <c r="AP21" s="39" t="s">
        <v>127</v>
      </c>
      <c r="AQ21" s="40">
        <f t="shared" si="2"/>
        <v>21.320365697426485</v>
      </c>
      <c r="AR21" s="41">
        <f t="shared" si="12"/>
        <v>9.7940000000000005</v>
      </c>
      <c r="AS21" s="37">
        <f t="shared" si="3"/>
        <v>62.80097604642426</v>
      </c>
      <c r="AT21" s="42">
        <f t="shared" si="4"/>
        <v>461.00000000000006</v>
      </c>
      <c r="AU21" s="31">
        <f t="shared" si="5"/>
        <v>272.64999999999998</v>
      </c>
      <c r="AV21" s="31">
        <f t="shared" si="6"/>
        <v>4.540675713672349</v>
      </c>
      <c r="AW21" s="37">
        <f t="shared" si="7"/>
        <v>501.80973977983552</v>
      </c>
      <c r="AX21" s="31">
        <f t="shared" si="8"/>
        <v>21.320365697426485</v>
      </c>
      <c r="AY21" s="42">
        <f t="shared" si="9"/>
        <v>486.9743255956289</v>
      </c>
      <c r="AZ21" s="42">
        <f t="shared" si="13"/>
        <v>3909.0978728849186</v>
      </c>
      <c r="BA21" s="42">
        <f t="shared" si="10"/>
        <v>516.64898350133706</v>
      </c>
      <c r="BB21" s="42">
        <f t="shared" si="11"/>
        <v>40.450000000000003</v>
      </c>
      <c r="BC21" s="38">
        <f t="shared" si="14"/>
        <v>9.4375</v>
      </c>
      <c r="BD21" s="38">
        <f t="shared" si="15"/>
        <v>60.111464968152866</v>
      </c>
      <c r="BE21" s="38">
        <f t="shared" si="16"/>
        <v>1.57</v>
      </c>
      <c r="BH21" s="34">
        <v>63.7</v>
      </c>
      <c r="BI21" s="43">
        <v>0.61</v>
      </c>
    </row>
    <row r="22" spans="1:61" ht="16.5" thickTop="1" thickBot="1">
      <c r="A22" s="85" t="s">
        <v>147</v>
      </c>
      <c r="B22" s="19"/>
      <c r="C22" s="16"/>
      <c r="D22" s="15"/>
      <c r="E22" s="15"/>
      <c r="F22" s="15"/>
      <c r="G22" s="86">
        <v>17.2</v>
      </c>
      <c r="H22" s="47">
        <f>G22*0.2248089714</f>
        <v>3.8667143080799997</v>
      </c>
      <c r="I22" s="5" t="s">
        <v>148</v>
      </c>
      <c r="J22" s="5">
        <f>IF(J20&lt;=K26,1,L29)</f>
        <v>1</v>
      </c>
      <c r="N22" s="30" t="s">
        <v>149</v>
      </c>
      <c r="O22" s="31">
        <v>2.37</v>
      </c>
      <c r="P22" s="32">
        <v>9.9499999999999993</v>
      </c>
      <c r="Q22" s="32">
        <v>0.14099999999999999</v>
      </c>
      <c r="R22" s="32">
        <v>2.69</v>
      </c>
      <c r="S22" s="32">
        <v>0.182</v>
      </c>
      <c r="T22" s="31">
        <v>0.5625</v>
      </c>
      <c r="U22" s="83" t="s">
        <v>127</v>
      </c>
      <c r="V22" s="31">
        <v>7.39</v>
      </c>
      <c r="W22" s="84" t="s">
        <v>127</v>
      </c>
      <c r="X22" s="35">
        <f t="shared" si="0"/>
        <v>67.98581560283688</v>
      </c>
      <c r="Y22" s="36">
        <f t="shared" si="1"/>
        <v>0.64553942643275986</v>
      </c>
      <c r="Z22" s="34">
        <v>20.3</v>
      </c>
      <c r="AA22" s="31">
        <v>34.6</v>
      </c>
      <c r="AB22" s="32">
        <v>6.95</v>
      </c>
      <c r="AC22" s="31">
        <v>3.82</v>
      </c>
      <c r="AD22" s="31">
        <v>0.59299999999999997</v>
      </c>
      <c r="AE22" s="32">
        <v>0.441</v>
      </c>
      <c r="AF22" s="31">
        <v>0.5</v>
      </c>
      <c r="AG22" s="37">
        <v>8.1999999999999993</v>
      </c>
      <c r="AH22" s="31">
        <v>0.71099999999999997</v>
      </c>
      <c r="AI22" s="37">
        <v>2.24E-2</v>
      </c>
      <c r="AJ22" s="31">
        <v>14.1</v>
      </c>
      <c r="AK22" s="31">
        <v>6.57</v>
      </c>
      <c r="AL22" s="31">
        <v>0.80400000000000005</v>
      </c>
      <c r="AM22" s="31">
        <v>1.1299999999999999</v>
      </c>
      <c r="AN22" s="31">
        <v>4.01</v>
      </c>
      <c r="AO22" s="83" t="s">
        <v>146</v>
      </c>
      <c r="AP22" s="39" t="s">
        <v>127</v>
      </c>
      <c r="AQ22" s="40">
        <f t="shared" si="2"/>
        <v>21.193206458674442</v>
      </c>
      <c r="AR22" s="41">
        <f t="shared" si="12"/>
        <v>9.7679999999999989</v>
      </c>
      <c r="AS22" s="37">
        <f t="shared" si="3"/>
        <v>61.574437710145844</v>
      </c>
      <c r="AT22" s="42">
        <f t="shared" si="4"/>
        <v>409.99999999999994</v>
      </c>
      <c r="AU22" s="31">
        <f t="shared" si="5"/>
        <v>243.25</v>
      </c>
      <c r="AV22" s="31">
        <f t="shared" si="6"/>
        <v>4.1293936522533334</v>
      </c>
      <c r="AW22" s="37">
        <f t="shared" si="7"/>
        <v>494.17758494505011</v>
      </c>
      <c r="AX22" s="31">
        <f t="shared" si="8"/>
        <v>21.193206458674442</v>
      </c>
      <c r="AY22" s="42">
        <f t="shared" si="9"/>
        <v>433.09655124619252</v>
      </c>
      <c r="AZ22" s="42">
        <f t="shared" si="13"/>
        <v>3434.5342153680986</v>
      </c>
      <c r="BA22" s="42">
        <f t="shared" si="10"/>
        <v>459.26715157338958</v>
      </c>
      <c r="BB22" s="42">
        <f t="shared" si="11"/>
        <v>35.549999999999997</v>
      </c>
      <c r="BC22" s="38">
        <f t="shared" si="14"/>
        <v>9.3874999999999993</v>
      </c>
      <c r="BD22" s="38">
        <f t="shared" si="15"/>
        <v>66.578014184397162</v>
      </c>
      <c r="BE22" s="38">
        <f t="shared" si="16"/>
        <v>1.4029499999999997</v>
      </c>
      <c r="BH22" s="34">
        <v>70.599999999999994</v>
      </c>
      <c r="BI22" s="43">
        <v>0.61</v>
      </c>
    </row>
    <row r="23" spans="1:61" ht="16.5" thickTop="1" thickBot="1">
      <c r="A23" s="44" t="s">
        <v>150</v>
      </c>
      <c r="B23" s="62">
        <v>16</v>
      </c>
      <c r="C23" s="171" t="s">
        <v>151</v>
      </c>
      <c r="D23" s="172"/>
      <c r="E23" s="15"/>
      <c r="F23" s="15"/>
      <c r="G23" s="61"/>
      <c r="H23" s="89"/>
      <c r="I23"/>
      <c r="J23"/>
      <c r="N23" s="30" t="s">
        <v>152</v>
      </c>
      <c r="O23" s="31">
        <v>2.2200000000000002</v>
      </c>
      <c r="P23" s="32">
        <v>9.99</v>
      </c>
      <c r="Q23" s="32">
        <v>0.13</v>
      </c>
      <c r="R23" s="32">
        <v>2.69</v>
      </c>
      <c r="S23" s="32">
        <v>0.17299999999999999</v>
      </c>
      <c r="T23" s="31">
        <v>0.4375</v>
      </c>
      <c r="U23" s="83" t="s">
        <v>127</v>
      </c>
      <c r="V23" s="31">
        <v>7.77</v>
      </c>
      <c r="W23" s="84" t="s">
        <v>127</v>
      </c>
      <c r="X23" s="35">
        <f t="shared" si="0"/>
        <v>74.184615384615384</v>
      </c>
      <c r="Y23" s="36">
        <f t="shared" si="1"/>
        <v>0.64650306427828497</v>
      </c>
      <c r="Z23" s="34">
        <v>21.5</v>
      </c>
      <c r="AA23" s="31">
        <v>33</v>
      </c>
      <c r="AB23" s="32">
        <v>6.6</v>
      </c>
      <c r="AC23" s="31">
        <v>3.85</v>
      </c>
      <c r="AD23" s="31">
        <v>0.56200000000000006</v>
      </c>
      <c r="AE23" s="32">
        <v>0.41799999999999998</v>
      </c>
      <c r="AF23" s="31">
        <v>0.503</v>
      </c>
      <c r="AG23" s="37">
        <v>7.77</v>
      </c>
      <c r="AH23" s="31">
        <v>0.67</v>
      </c>
      <c r="AI23" s="37">
        <v>1.8700000000000001E-2</v>
      </c>
      <c r="AJ23" s="31">
        <v>13.5</v>
      </c>
      <c r="AK23" s="31">
        <v>6.6</v>
      </c>
      <c r="AL23" s="31">
        <v>0.76700000000000002</v>
      </c>
      <c r="AM23" s="31">
        <v>1.0900000000000001</v>
      </c>
      <c r="AN23" s="31">
        <v>3.79</v>
      </c>
      <c r="AO23" s="83" t="s">
        <v>153</v>
      </c>
      <c r="AP23" s="39" t="s">
        <v>127</v>
      </c>
      <c r="AQ23" s="40">
        <f t="shared" si="2"/>
        <v>21.320365697426485</v>
      </c>
      <c r="AR23" s="41">
        <f t="shared" si="12"/>
        <v>9.8170000000000002</v>
      </c>
      <c r="AS23" s="37">
        <f t="shared" si="3"/>
        <v>61.263411304849285</v>
      </c>
      <c r="AT23" s="42">
        <f t="shared" si="4"/>
        <v>388.5</v>
      </c>
      <c r="AU23" s="31">
        <f t="shared" si="5"/>
        <v>231</v>
      </c>
      <c r="AV23" s="31">
        <f t="shared" si="6"/>
        <v>3.943114442197944</v>
      </c>
      <c r="AW23" s="37">
        <f t="shared" si="7"/>
        <v>495.18449069895945</v>
      </c>
      <c r="AX23" s="31">
        <f t="shared" si="8"/>
        <v>21.320365697426485</v>
      </c>
      <c r="AY23" s="42">
        <f t="shared" si="9"/>
        <v>411.05605659617606</v>
      </c>
      <c r="AZ23" s="42">
        <f t="shared" si="13"/>
        <v>3268.2176386131323</v>
      </c>
      <c r="BA23" s="42">
        <f t="shared" si="10"/>
        <v>435.03419114128258</v>
      </c>
      <c r="BB23" s="42">
        <f t="shared" si="11"/>
        <v>33.5</v>
      </c>
      <c r="BC23" s="38">
        <f t="shared" si="14"/>
        <v>9.5525000000000002</v>
      </c>
      <c r="BD23" s="38">
        <f t="shared" si="15"/>
        <v>73.480769230769226</v>
      </c>
      <c r="BE23" s="38">
        <f t="shared" si="16"/>
        <v>1.2987</v>
      </c>
      <c r="BH23" s="34">
        <v>76.8</v>
      </c>
      <c r="BI23" s="43">
        <v>0.6</v>
      </c>
    </row>
    <row r="24" spans="1:61" ht="16.5" thickTop="1" thickBot="1">
      <c r="A24" s="48" t="s">
        <v>154</v>
      </c>
      <c r="B24" s="65">
        <v>3.88</v>
      </c>
      <c r="C24" s="171" t="s">
        <v>155</v>
      </c>
      <c r="D24" s="172"/>
      <c r="E24" s="15"/>
      <c r="F24" s="15"/>
      <c r="G24" s="73" t="s">
        <v>156</v>
      </c>
      <c r="H24" s="82" t="s">
        <v>157</v>
      </c>
      <c r="L24" s="5" t="s">
        <v>148</v>
      </c>
      <c r="N24" s="30" t="s">
        <v>158</v>
      </c>
      <c r="O24" s="31">
        <v>1.92</v>
      </c>
      <c r="P24" s="32">
        <v>8</v>
      </c>
      <c r="Q24" s="32">
        <v>0.13500000000000001</v>
      </c>
      <c r="R24" s="32">
        <v>2.2799999999999998</v>
      </c>
      <c r="S24" s="32">
        <v>0.189</v>
      </c>
      <c r="T24" s="31">
        <v>0.5625</v>
      </c>
      <c r="U24" s="83" t="s">
        <v>127</v>
      </c>
      <c r="V24" s="31">
        <v>6.03</v>
      </c>
      <c r="W24" s="84" t="s">
        <v>127</v>
      </c>
      <c r="X24" s="35">
        <f t="shared" si="0"/>
        <v>56.459259259259255</v>
      </c>
      <c r="Y24" s="36">
        <f t="shared" si="1"/>
        <v>0.56317289965232498</v>
      </c>
      <c r="Z24" s="34">
        <v>18.600000000000001</v>
      </c>
      <c r="AA24" s="31">
        <v>18.5</v>
      </c>
      <c r="AB24" s="32">
        <v>4.63</v>
      </c>
      <c r="AC24" s="31">
        <v>3.11</v>
      </c>
      <c r="AD24" s="31">
        <v>0.376</v>
      </c>
      <c r="AE24" s="32">
        <v>0.32900000000000001</v>
      </c>
      <c r="AF24" s="31">
        <v>0.443</v>
      </c>
      <c r="AG24" s="37">
        <v>5.43</v>
      </c>
      <c r="AH24" s="31">
        <v>0.52900000000000003</v>
      </c>
      <c r="AI24" s="37">
        <v>1.84E-2</v>
      </c>
      <c r="AJ24" s="31">
        <v>5.74</v>
      </c>
      <c r="AK24" s="31">
        <v>4.45</v>
      </c>
      <c r="AL24" s="31">
        <v>0.48</v>
      </c>
      <c r="AM24" s="31">
        <v>0.79200000000000004</v>
      </c>
      <c r="AN24" s="31">
        <v>2.66</v>
      </c>
      <c r="AO24" s="83" t="s">
        <v>159</v>
      </c>
      <c r="AP24" s="39" t="s">
        <v>127</v>
      </c>
      <c r="AQ24" s="40">
        <f t="shared" si="2"/>
        <v>18.777180922385554</v>
      </c>
      <c r="AR24" s="41">
        <f t="shared" si="12"/>
        <v>7.8109999999999999</v>
      </c>
      <c r="AS24" s="37">
        <f t="shared" si="3"/>
        <v>55.256519230714112</v>
      </c>
      <c r="AT24" s="42">
        <f t="shared" si="4"/>
        <v>271.5</v>
      </c>
      <c r="AU24" s="31">
        <f t="shared" si="5"/>
        <v>162.04999999999998</v>
      </c>
      <c r="AV24" s="31">
        <f t="shared" si="6"/>
        <v>3.0003285441998164</v>
      </c>
      <c r="AW24" s="37">
        <f t="shared" si="7"/>
        <v>378.96149758509279</v>
      </c>
      <c r="AX24" s="31">
        <f t="shared" si="8"/>
        <v>18.777180922385554</v>
      </c>
      <c r="AY24" s="42">
        <f t="shared" si="9"/>
        <v>281.03258661152046</v>
      </c>
      <c r="AZ24" s="42">
        <f t="shared" si="13"/>
        <v>1754.5917338189795</v>
      </c>
      <c r="BA24" s="42">
        <f t="shared" si="10"/>
        <v>303.83756965341831</v>
      </c>
      <c r="BB24" s="42">
        <f t="shared" si="11"/>
        <v>26.450000000000003</v>
      </c>
      <c r="BC24" s="38">
        <f t="shared" si="14"/>
        <v>7.4375</v>
      </c>
      <c r="BD24" s="38">
        <f t="shared" si="15"/>
        <v>55.092592592592588</v>
      </c>
      <c r="BE24" s="38">
        <f t="shared" si="16"/>
        <v>1.08</v>
      </c>
      <c r="BH24" s="34">
        <v>59.298999999999999</v>
      </c>
      <c r="BI24" s="43">
        <v>0.53</v>
      </c>
    </row>
    <row r="25" spans="1:61" ht="16.5" thickTop="1" thickBot="1">
      <c r="A25" s="48" t="s">
        <v>160</v>
      </c>
      <c r="B25" s="65">
        <v>7.83</v>
      </c>
      <c r="C25" s="171" t="s">
        <v>161</v>
      </c>
      <c r="D25" s="172"/>
      <c r="E25" s="15"/>
      <c r="F25" s="15"/>
      <c r="G25" s="86">
        <v>16.100000000000001</v>
      </c>
      <c r="H25" s="47">
        <f>G25*0.7375610476</f>
        <v>11.87473286636</v>
      </c>
      <c r="I25" s="173" t="s">
        <v>162</v>
      </c>
      <c r="J25" s="173"/>
      <c r="K25" s="18">
        <f>2.24*(B10/B11)^0.5</f>
        <v>53.946343712989488</v>
      </c>
      <c r="L25" s="18">
        <v>1</v>
      </c>
      <c r="N25" s="90" t="s">
        <v>163</v>
      </c>
      <c r="O25" s="91">
        <v>1.82</v>
      </c>
      <c r="P25" s="92">
        <v>8</v>
      </c>
      <c r="Q25" s="92">
        <v>0.129</v>
      </c>
      <c r="R25" s="92">
        <v>2.2799999999999998</v>
      </c>
      <c r="S25" s="92">
        <v>0.17699999999999999</v>
      </c>
      <c r="T25" s="91">
        <v>0.4375</v>
      </c>
      <c r="U25" s="93" t="s">
        <v>127</v>
      </c>
      <c r="V25" s="91">
        <v>6.44</v>
      </c>
      <c r="W25" s="94" t="s">
        <v>127</v>
      </c>
      <c r="X25" s="95">
        <f t="shared" si="0"/>
        <v>59.271317829457359</v>
      </c>
      <c r="Y25" s="95">
        <f t="shared" si="1"/>
        <v>0.56002928657555362</v>
      </c>
      <c r="Z25" s="91">
        <v>19.82</v>
      </c>
      <c r="AA25" s="91">
        <v>17.600000000000001</v>
      </c>
      <c r="AB25" s="92">
        <v>4.3899999999999997</v>
      </c>
      <c r="AC25" s="91">
        <v>3.1</v>
      </c>
      <c r="AD25" s="91">
        <v>0.35199999999999998</v>
      </c>
      <c r="AE25" s="92">
        <v>0.308</v>
      </c>
      <c r="AF25" s="91">
        <v>0.439</v>
      </c>
      <c r="AG25" s="91">
        <v>5.15</v>
      </c>
      <c r="AH25" s="91">
        <v>0.495</v>
      </c>
      <c r="AI25" s="91">
        <v>1.5599999999999999E-2</v>
      </c>
      <c r="AJ25" s="91">
        <v>5.39</v>
      </c>
      <c r="AK25" s="91">
        <v>4.46</v>
      </c>
      <c r="AL25" s="91">
        <v>0.45</v>
      </c>
      <c r="AM25" s="91">
        <v>0.745</v>
      </c>
      <c r="AN25" s="91">
        <v>2.52</v>
      </c>
      <c r="AO25" s="93" t="s">
        <v>164</v>
      </c>
      <c r="AP25" s="96" t="s">
        <v>127</v>
      </c>
      <c r="AQ25" s="40">
        <f t="shared" si="2"/>
        <v>18.607635270716159</v>
      </c>
      <c r="AR25" s="41">
        <f t="shared" si="12"/>
        <v>7.8230000000000004</v>
      </c>
      <c r="AS25" s="37">
        <f t="shared" si="3"/>
        <v>54.478118211863872</v>
      </c>
      <c r="AT25" s="42">
        <f t="shared" si="4"/>
        <v>257.5</v>
      </c>
      <c r="AU25" s="97">
        <f t="shared" si="5"/>
        <v>153.64999999999998</v>
      </c>
      <c r="AV25" s="97">
        <f t="shared" si="6"/>
        <v>2.8951380490300482</v>
      </c>
      <c r="AW25" s="97">
        <f t="shared" si="7"/>
        <v>374.20434147393939</v>
      </c>
      <c r="AX25" s="97">
        <f t="shared" si="8"/>
        <v>18.607635270716159</v>
      </c>
      <c r="AY25" s="98">
        <f t="shared" si="9"/>
        <v>266.20751930985512</v>
      </c>
      <c r="AZ25" s="98">
        <f t="shared" si="13"/>
        <v>1642.7570590705939</v>
      </c>
      <c r="BA25" s="98">
        <f t="shared" si="10"/>
        <v>288.18302063506155</v>
      </c>
      <c r="BB25" s="42">
        <f t="shared" si="11"/>
        <v>24.75</v>
      </c>
      <c r="BC25" s="38">
        <f t="shared" si="14"/>
        <v>7.5625</v>
      </c>
      <c r="BD25" s="38">
        <f t="shared" si="15"/>
        <v>58.624031007751938</v>
      </c>
      <c r="BE25" s="38">
        <f t="shared" si="16"/>
        <v>1.032</v>
      </c>
      <c r="BH25" s="99">
        <v>62.02</v>
      </c>
      <c r="BI25" s="100">
        <v>0.55500000000000005</v>
      </c>
    </row>
    <row r="26" spans="1:61" ht="16.5" thickTop="1" thickBot="1">
      <c r="A26" s="48" t="s">
        <v>165</v>
      </c>
      <c r="B26" s="65">
        <v>11.87</v>
      </c>
      <c r="C26" s="171" t="s">
        <v>166</v>
      </c>
      <c r="D26" s="172"/>
      <c r="E26" s="15"/>
      <c r="F26" s="15"/>
      <c r="G26" s="61"/>
      <c r="H26" s="89"/>
      <c r="I26" s="173" t="s">
        <v>167</v>
      </c>
      <c r="J26" s="173"/>
      <c r="K26" s="18">
        <f>1.1*(5*B10/B11)^0.5</f>
        <v>59.236812878479547</v>
      </c>
      <c r="L26" s="18">
        <f>K26/J20</f>
        <v>1.3305893173567758</v>
      </c>
      <c r="N26" s="30" t="s">
        <v>168</v>
      </c>
      <c r="O26" s="31">
        <v>1.29</v>
      </c>
      <c r="P26" s="32">
        <v>6</v>
      </c>
      <c r="Q26" s="32">
        <v>0.114</v>
      </c>
      <c r="R26" s="32">
        <v>1.84</v>
      </c>
      <c r="S26" s="32">
        <v>0.17100000000000001</v>
      </c>
      <c r="T26" s="31">
        <v>0.375</v>
      </c>
      <c r="U26" s="83" t="s">
        <v>127</v>
      </c>
      <c r="V26" s="31">
        <v>5.39</v>
      </c>
      <c r="W26" s="84" t="s">
        <v>127</v>
      </c>
      <c r="X26" s="35">
        <f t="shared" si="0"/>
        <v>49.631578947368425</v>
      </c>
      <c r="Y26" s="36">
        <f t="shared" si="1"/>
        <v>0.4665624266111783</v>
      </c>
      <c r="Z26" s="34">
        <v>19</v>
      </c>
      <c r="AA26" s="31">
        <v>7.23</v>
      </c>
      <c r="AB26" s="32">
        <v>2.41</v>
      </c>
      <c r="AC26" s="31">
        <v>2.36</v>
      </c>
      <c r="AD26" s="31">
        <v>0.18</v>
      </c>
      <c r="AE26" s="32">
        <v>0.19500000000000001</v>
      </c>
      <c r="AF26" s="31">
        <v>0.372</v>
      </c>
      <c r="AG26" s="37">
        <v>2.8</v>
      </c>
      <c r="AH26" s="31">
        <v>0.311</v>
      </c>
      <c r="AI26" s="37">
        <v>9.9000000000000008E-3</v>
      </c>
      <c r="AJ26" s="31">
        <v>1.53</v>
      </c>
      <c r="AK26" s="31">
        <v>2.69</v>
      </c>
      <c r="AL26" s="31">
        <v>0.21199999999999999</v>
      </c>
      <c r="AM26" s="31">
        <v>0.43099999999999999</v>
      </c>
      <c r="AN26" s="31">
        <v>1.38</v>
      </c>
      <c r="AO26" s="83" t="s">
        <v>169</v>
      </c>
      <c r="AP26" s="39" t="s">
        <v>127</v>
      </c>
      <c r="AQ26" s="40">
        <f t="shared" si="2"/>
        <v>15.767745605253783</v>
      </c>
      <c r="AR26" s="41">
        <f t="shared" si="12"/>
        <v>5.8289999999999997</v>
      </c>
      <c r="AS26" s="37">
        <f t="shared" si="3"/>
        <v>47.202293701788726</v>
      </c>
      <c r="AT26" s="42">
        <f t="shared" si="4"/>
        <v>140</v>
      </c>
      <c r="AU26" s="31">
        <f t="shared" si="5"/>
        <v>84.350000000000009</v>
      </c>
      <c r="AV26" s="31">
        <f t="shared" si="6"/>
        <v>1.7703451574713218</v>
      </c>
      <c r="AW26" s="37">
        <f t="shared" si="7"/>
        <v>263.97824816371309</v>
      </c>
      <c r="AX26" s="31">
        <f t="shared" si="8"/>
        <v>15.767745605253783</v>
      </c>
      <c r="AY26" s="42">
        <f t="shared" si="9"/>
        <v>140.29696761994813</v>
      </c>
      <c r="AZ26" s="42">
        <f t="shared" si="13"/>
        <v>636.18757807454858</v>
      </c>
      <c r="BA26" s="42">
        <f t="shared" si="10"/>
        <v>156.44208086991983</v>
      </c>
      <c r="BB26" s="42">
        <f t="shared" si="11"/>
        <v>15.55</v>
      </c>
      <c r="BC26" s="38">
        <f t="shared" si="14"/>
        <v>5.625</v>
      </c>
      <c r="BD26" s="38">
        <f t="shared" si="15"/>
        <v>49.34210526315789</v>
      </c>
      <c r="BE26" s="38">
        <f t="shared" si="16"/>
        <v>0.68400000000000005</v>
      </c>
      <c r="BH26" s="34">
        <v>52.598999999999997</v>
      </c>
      <c r="BI26" s="43">
        <v>0.44</v>
      </c>
    </row>
    <row r="27" spans="1:61" ht="16.5" thickTop="1" thickBot="1">
      <c r="A27" s="101" t="s">
        <v>170</v>
      </c>
      <c r="B27" s="102">
        <f>(12.5*B23)/((2.5*B23)+(3*B24)+(4*B25)+(3*B26))</f>
        <v>1.6867673104495233</v>
      </c>
      <c r="C27" s="171" t="s">
        <v>171</v>
      </c>
      <c r="D27" s="172"/>
      <c r="E27" s="15"/>
      <c r="F27" s="15"/>
      <c r="G27" s="73" t="s">
        <v>172</v>
      </c>
      <c r="H27" s="82" t="s">
        <v>173</v>
      </c>
      <c r="I27" s="173" t="s">
        <v>174</v>
      </c>
      <c r="J27" s="173"/>
      <c r="K27" s="18">
        <f>1.37*(5*B10/B11)^0.5</f>
        <v>73.776757857742709</v>
      </c>
      <c r="L27" s="18">
        <f>(1.51*B10*5)/(B11*(J20)^2)</f>
        <v>2.2094269227360295</v>
      </c>
      <c r="N27" s="90" t="s">
        <v>175</v>
      </c>
      <c r="O27" s="91">
        <v>1.0900000000000001</v>
      </c>
      <c r="P27" s="92">
        <v>5.92</v>
      </c>
      <c r="Q27" s="92">
        <v>9.8000000000000004E-2</v>
      </c>
      <c r="R27" s="92">
        <v>2</v>
      </c>
      <c r="S27" s="92">
        <v>0.129</v>
      </c>
      <c r="T27" s="91">
        <v>0.3125</v>
      </c>
      <c r="U27" s="93" t="s">
        <v>127</v>
      </c>
      <c r="V27" s="91">
        <v>7.75</v>
      </c>
      <c r="W27" s="94" t="s">
        <v>127</v>
      </c>
      <c r="X27" s="95">
        <f t="shared" si="0"/>
        <v>57.775510204081627</v>
      </c>
      <c r="Y27" s="95">
        <f t="shared" si="1"/>
        <v>0.49921405891352405</v>
      </c>
      <c r="Z27" s="91">
        <v>22.95</v>
      </c>
      <c r="AA27" s="91">
        <v>5.97</v>
      </c>
      <c r="AB27" s="92">
        <v>2.0099999999999998</v>
      </c>
      <c r="AC27" s="91">
        <v>2.34</v>
      </c>
      <c r="AD27" s="91">
        <v>0.17299999999999999</v>
      </c>
      <c r="AE27" s="92">
        <v>0.17299999999999999</v>
      </c>
      <c r="AF27" s="91">
        <v>0.39800000000000002</v>
      </c>
      <c r="AG27" s="91">
        <v>2.33</v>
      </c>
      <c r="AH27" s="91">
        <v>0.27300000000000002</v>
      </c>
      <c r="AI27" s="91">
        <v>5.3E-3</v>
      </c>
      <c r="AJ27" s="91">
        <v>1.45</v>
      </c>
      <c r="AK27" s="91">
        <v>2.9</v>
      </c>
      <c r="AL27" s="91">
        <v>0.187</v>
      </c>
      <c r="AM27" s="91">
        <v>0.35499999999999998</v>
      </c>
      <c r="AN27" s="91">
        <v>1.1399999999999999</v>
      </c>
      <c r="AO27" s="93" t="s">
        <v>176</v>
      </c>
      <c r="AP27" s="96" t="s">
        <v>127</v>
      </c>
      <c r="AQ27" s="40">
        <f t="shared" si="2"/>
        <v>16.869792341104855</v>
      </c>
      <c r="AR27" s="41">
        <f t="shared" si="12"/>
        <v>5.7910000000000004</v>
      </c>
      <c r="AS27" s="37">
        <f t="shared" si="3"/>
        <v>48.570515805611464</v>
      </c>
      <c r="AT27" s="42">
        <f t="shared" si="4"/>
        <v>116.5</v>
      </c>
      <c r="AU27" s="97">
        <f t="shared" si="5"/>
        <v>70.349999999999994</v>
      </c>
      <c r="AV27" s="97">
        <f t="shared" si="6"/>
        <v>1.4558027374886691</v>
      </c>
      <c r="AW27" s="97">
        <f t="shared" si="7"/>
        <v>298.38364552808122</v>
      </c>
      <c r="AX27" s="97">
        <f t="shared" si="8"/>
        <v>16.869792341104855</v>
      </c>
      <c r="AY27" s="98">
        <f t="shared" si="9"/>
        <v>118.34856716622259</v>
      </c>
      <c r="AZ27" s="98">
        <f t="shared" si="13"/>
        <v>599.7511275114432</v>
      </c>
      <c r="BA27" s="98">
        <f t="shared" si="10"/>
        <v>130.13525664235044</v>
      </c>
      <c r="BB27" s="42">
        <f t="shared" si="11"/>
        <v>13.65</v>
      </c>
      <c r="BC27" s="38">
        <f t="shared" si="14"/>
        <v>5.6074999999999999</v>
      </c>
      <c r="BD27" s="38">
        <f t="shared" si="15"/>
        <v>57.219387755102041</v>
      </c>
      <c r="BE27" s="38">
        <f t="shared" si="16"/>
        <v>0.58016000000000001</v>
      </c>
      <c r="BH27" s="99">
        <v>60.41</v>
      </c>
      <c r="BI27" s="100">
        <v>0.496</v>
      </c>
    </row>
    <row r="28" spans="1:61" ht="16.5" thickTop="1" thickBot="1">
      <c r="A28" s="69" t="s">
        <v>170</v>
      </c>
      <c r="B28" s="78">
        <v>1</v>
      </c>
      <c r="C28" s="171" t="s">
        <v>177</v>
      </c>
      <c r="D28" s="172"/>
      <c r="E28" s="15"/>
      <c r="F28" s="15"/>
      <c r="G28" s="103">
        <v>216</v>
      </c>
      <c r="H28" s="104">
        <f>G28*0.1450377229</f>
        <v>31.3281481464</v>
      </c>
      <c r="I28"/>
      <c r="J28"/>
      <c r="N28" s="30" t="s">
        <v>178</v>
      </c>
      <c r="O28" s="31">
        <v>5.55</v>
      </c>
      <c r="P28" s="32">
        <v>5</v>
      </c>
      <c r="Q28" s="32">
        <v>0.316</v>
      </c>
      <c r="R28" s="32">
        <v>5</v>
      </c>
      <c r="S28" s="32">
        <v>0.41599999999999998</v>
      </c>
      <c r="T28" s="31">
        <v>0.8125</v>
      </c>
      <c r="U28" s="83" t="s">
        <v>127</v>
      </c>
      <c r="V28" s="31">
        <v>6.01</v>
      </c>
      <c r="W28" s="84" t="s">
        <v>127</v>
      </c>
      <c r="X28" s="35">
        <f t="shared" si="0"/>
        <v>13.18987341772152</v>
      </c>
      <c r="Y28" s="36">
        <f t="shared" si="1"/>
        <v>1.3677459456940886</v>
      </c>
      <c r="Z28" s="34">
        <v>2.4</v>
      </c>
      <c r="AA28" s="31">
        <v>24.1</v>
      </c>
      <c r="AB28" s="32">
        <v>9.6300000000000008</v>
      </c>
      <c r="AC28" s="31">
        <v>2.08</v>
      </c>
      <c r="AD28" s="31">
        <v>7.86</v>
      </c>
      <c r="AE28" s="32">
        <v>3.14</v>
      </c>
      <c r="AF28" s="31">
        <v>1.19</v>
      </c>
      <c r="AG28" s="37">
        <v>11</v>
      </c>
      <c r="AH28" s="31">
        <v>5.0199999999999996</v>
      </c>
      <c r="AI28" s="37">
        <v>0.34</v>
      </c>
      <c r="AJ28" s="31">
        <v>41.3</v>
      </c>
      <c r="AK28" s="31">
        <v>5.73</v>
      </c>
      <c r="AL28" s="31">
        <v>2.98</v>
      </c>
      <c r="AM28" s="31">
        <v>2.2799999999999998</v>
      </c>
      <c r="AN28" s="31">
        <v>5.53</v>
      </c>
      <c r="AO28" s="83" t="s">
        <v>179</v>
      </c>
      <c r="AP28" s="30">
        <v>2.75</v>
      </c>
      <c r="AQ28" s="40">
        <f t="shared" si="2"/>
        <v>50.439831371645163</v>
      </c>
      <c r="AR28" s="41">
        <f t="shared" si="12"/>
        <v>4.5839999999999996</v>
      </c>
      <c r="AS28" s="37">
        <f t="shared" si="3"/>
        <v>279.69561235576015</v>
      </c>
      <c r="AT28" s="42">
        <f t="shared" si="4"/>
        <v>550</v>
      </c>
      <c r="AU28" s="31">
        <f t="shared" si="5"/>
        <v>337.05</v>
      </c>
      <c r="AV28" s="31">
        <f t="shared" si="6"/>
        <v>0.92887515894203421</v>
      </c>
      <c r="AW28" s="37">
        <f t="shared" si="7"/>
        <v>2286.3830000594612</v>
      </c>
      <c r="AX28" s="31">
        <f t="shared" si="8"/>
        <v>50.439831371645163</v>
      </c>
      <c r="AY28" s="42">
        <f t="shared" si="9"/>
        <v>582.36185390285061</v>
      </c>
      <c r="AZ28" s="42">
        <f t="shared" si="13"/>
        <v>22017.868290572613</v>
      </c>
      <c r="BA28" s="42">
        <f t="shared" si="10"/>
        <v>612.9171809748326</v>
      </c>
      <c r="BB28" s="42">
        <f t="shared" si="11"/>
        <v>250.99999999999997</v>
      </c>
      <c r="BC28" s="38">
        <f t="shared" si="14"/>
        <v>4.1875</v>
      </c>
      <c r="BD28" s="38">
        <f t="shared" si="15"/>
        <v>13.251582278481013</v>
      </c>
      <c r="BE28" s="38">
        <f t="shared" si="16"/>
        <v>1.58</v>
      </c>
      <c r="BH28" s="34">
        <v>15.8</v>
      </c>
      <c r="BI28" s="43">
        <v>1.29</v>
      </c>
    </row>
    <row r="29" spans="1:61" ht="16.5" thickTop="1" thickBot="1">
      <c r="A29" s="61"/>
      <c r="B29" s="19"/>
      <c r="C29" s="16"/>
      <c r="D29" s="15"/>
      <c r="E29" s="15"/>
      <c r="F29" s="15"/>
      <c r="G29" s="16"/>
      <c r="H29" s="29"/>
      <c r="I29"/>
      <c r="J29"/>
      <c r="L29" s="18">
        <f>IF(J20&gt;K27,L27,L26)</f>
        <v>1.3305893173567758</v>
      </c>
      <c r="N29" s="90" t="s">
        <v>180</v>
      </c>
      <c r="O29" s="91">
        <v>1.75</v>
      </c>
      <c r="P29" s="92">
        <v>3.8</v>
      </c>
      <c r="Q29" s="92">
        <v>0.13</v>
      </c>
      <c r="R29" s="92">
        <v>3.8</v>
      </c>
      <c r="S29" s="92">
        <v>0.16</v>
      </c>
      <c r="T29" s="91">
        <v>0.5</v>
      </c>
      <c r="U29" s="93" t="s">
        <v>127</v>
      </c>
      <c r="V29" s="91">
        <v>11.9</v>
      </c>
      <c r="W29" s="91">
        <v>29.96</v>
      </c>
      <c r="X29" s="95">
        <f t="shared" si="0"/>
        <v>26.769230769230766</v>
      </c>
      <c r="Y29" s="95">
        <f t="shared" si="1"/>
        <v>1.0386483151580448</v>
      </c>
      <c r="Z29" s="91">
        <v>6.25</v>
      </c>
      <c r="AA29" s="91">
        <v>4.72</v>
      </c>
      <c r="AB29" s="92">
        <v>2.48</v>
      </c>
      <c r="AC29" s="91">
        <v>1.64</v>
      </c>
      <c r="AD29" s="91">
        <v>1.47</v>
      </c>
      <c r="AE29" s="92">
        <v>0.77100000000000002</v>
      </c>
      <c r="AF29" s="91">
        <v>0.91500000000000004</v>
      </c>
      <c r="AG29" s="91">
        <v>2.74</v>
      </c>
      <c r="AH29" s="91">
        <v>1.18</v>
      </c>
      <c r="AI29" s="91">
        <v>1.84E-2</v>
      </c>
      <c r="AJ29" s="91">
        <v>4.87</v>
      </c>
      <c r="AK29" s="91">
        <v>3.46</v>
      </c>
      <c r="AL29" s="91">
        <v>0.52600000000000002</v>
      </c>
      <c r="AM29" s="91">
        <v>0.53400000000000003</v>
      </c>
      <c r="AN29" s="91">
        <v>1.3</v>
      </c>
      <c r="AO29" s="93" t="s">
        <v>181</v>
      </c>
      <c r="AP29" s="105" t="s">
        <v>129</v>
      </c>
      <c r="AQ29" s="40">
        <f t="shared" si="2"/>
        <v>38.783567819374227</v>
      </c>
      <c r="AR29" s="41">
        <f t="shared" si="12"/>
        <v>3.6399999999999997</v>
      </c>
      <c r="AS29" s="37">
        <f t="shared" si="3"/>
        <v>127.58537926254543</v>
      </c>
      <c r="AT29" s="42">
        <f t="shared" si="4"/>
        <v>137</v>
      </c>
      <c r="AU29" s="97">
        <f t="shared" si="5"/>
        <v>86.8</v>
      </c>
      <c r="AV29" s="97">
        <f t="shared" si="6"/>
        <v>0.56530378360722444</v>
      </c>
      <c r="AW29" s="97">
        <f t="shared" si="7"/>
        <v>1292.3695478989121</v>
      </c>
      <c r="AX29" s="97">
        <f t="shared" si="8"/>
        <v>38.783567819374227</v>
      </c>
      <c r="AY29" s="98">
        <f t="shared" si="9"/>
        <v>150.10575860580693</v>
      </c>
      <c r="AZ29" s="98">
        <f t="shared" si="13"/>
        <v>3205.0764787893017</v>
      </c>
      <c r="BA29" s="98">
        <f t="shared" si="10"/>
        <v>151.83185012884056</v>
      </c>
      <c r="BB29" s="42">
        <f t="shared" si="11"/>
        <v>59</v>
      </c>
      <c r="BC29" s="38">
        <f t="shared" si="14"/>
        <v>3.3</v>
      </c>
      <c r="BD29" s="38">
        <f t="shared" si="15"/>
        <v>25.384615384615383</v>
      </c>
      <c r="BE29" s="38">
        <f t="shared" si="16"/>
        <v>0.49399999999999999</v>
      </c>
      <c r="BH29" s="99">
        <v>29.23</v>
      </c>
      <c r="BI29" s="100">
        <v>1.0349999999999999</v>
      </c>
    </row>
    <row r="30" spans="1:61" ht="16.5" thickTop="1" thickBot="1">
      <c r="A30" s="178" t="s">
        <v>182</v>
      </c>
      <c r="B30" s="179"/>
      <c r="C30" s="15"/>
      <c r="D30" s="15"/>
      <c r="E30" s="15"/>
      <c r="F30" s="15"/>
      <c r="G30" s="16"/>
      <c r="H30" s="29"/>
      <c r="N30" s="30" t="s">
        <v>183</v>
      </c>
      <c r="O30" s="31">
        <v>35.5</v>
      </c>
      <c r="P30" s="32">
        <v>24.5</v>
      </c>
      <c r="Q30" s="32">
        <v>0.8</v>
      </c>
      <c r="R30" s="32">
        <v>8.0500000000000007</v>
      </c>
      <c r="S30" s="32">
        <v>1.0900000000000001</v>
      </c>
      <c r="T30" s="31">
        <v>2</v>
      </c>
      <c r="U30" s="83" t="s">
        <v>127</v>
      </c>
      <c r="V30" s="31">
        <v>3.69</v>
      </c>
      <c r="W30" s="84" t="s">
        <v>127</v>
      </c>
      <c r="X30" s="35">
        <f t="shared" si="0"/>
        <v>27.9</v>
      </c>
      <c r="Y30" s="36">
        <f t="shared" si="1"/>
        <v>1.9405056082124257</v>
      </c>
      <c r="Z30" s="34">
        <v>2.79</v>
      </c>
      <c r="AA30" s="31">
        <v>3160</v>
      </c>
      <c r="AB30" s="32">
        <v>258</v>
      </c>
      <c r="AC30" s="31">
        <v>9.43</v>
      </c>
      <c r="AD30" s="31">
        <v>83</v>
      </c>
      <c r="AE30" s="32">
        <v>20.6</v>
      </c>
      <c r="AF30" s="31">
        <v>1.53</v>
      </c>
      <c r="AG30" s="37">
        <v>306</v>
      </c>
      <c r="AH30" s="31">
        <v>36.299999999999997</v>
      </c>
      <c r="AI30" s="37">
        <v>12.8</v>
      </c>
      <c r="AJ30" s="31">
        <v>11400</v>
      </c>
      <c r="AK30" s="31">
        <v>47.1</v>
      </c>
      <c r="AL30" s="31">
        <v>103</v>
      </c>
      <c r="AM30" s="31">
        <v>46.2</v>
      </c>
      <c r="AN30" s="31">
        <v>153</v>
      </c>
      <c r="AO30" s="83" t="s">
        <v>184</v>
      </c>
      <c r="AP30" s="39" t="s">
        <v>185</v>
      </c>
      <c r="AQ30" s="40">
        <f t="shared" si="2"/>
        <v>64.851211763543787</v>
      </c>
      <c r="AR30" s="41">
        <f t="shared" si="12"/>
        <v>23.41</v>
      </c>
      <c r="AS30" s="37">
        <f t="shared" si="3"/>
        <v>240.94619425164953</v>
      </c>
      <c r="AT30" s="42">
        <f t="shared" si="4"/>
        <v>15300</v>
      </c>
      <c r="AU30" s="31">
        <f t="shared" si="5"/>
        <v>9030</v>
      </c>
      <c r="AV30" s="31">
        <f t="shared" si="6"/>
        <v>35.605784511341788</v>
      </c>
      <c r="AW30" s="37">
        <f t="shared" si="7"/>
        <v>4455.8998229312147</v>
      </c>
      <c r="AX30" s="31">
        <f t="shared" si="8"/>
        <v>64.851211763543787</v>
      </c>
      <c r="AY30" s="42">
        <f t="shared" si="9"/>
        <v>17053.628032975201</v>
      </c>
      <c r="AZ30" s="42">
        <f t="shared" si="13"/>
        <v>1149622.1543162535</v>
      </c>
      <c r="BA30" s="42">
        <f t="shared" si="10"/>
        <v>17152.503990195823</v>
      </c>
      <c r="BB30" s="42">
        <f t="shared" si="11"/>
        <v>1814.9999999999998</v>
      </c>
      <c r="BC30" s="38">
        <f t="shared" si="14"/>
        <v>22.5</v>
      </c>
      <c r="BD30" s="38">
        <f t="shared" si="15"/>
        <v>28.125</v>
      </c>
      <c r="BE30" s="38">
        <f t="shared" si="16"/>
        <v>19.600000000000001</v>
      </c>
      <c r="BH30" s="34">
        <v>30.6</v>
      </c>
      <c r="BI30" s="43">
        <v>1.86</v>
      </c>
    </row>
    <row r="31" spans="1:61" ht="16.5" thickTop="1" thickBot="1">
      <c r="A31" s="44" t="s">
        <v>186</v>
      </c>
      <c r="B31" s="106">
        <f>0.9*J10/12</f>
        <v>109.875</v>
      </c>
      <c r="C31" s="171" t="s">
        <v>187</v>
      </c>
      <c r="D31" s="172"/>
      <c r="E31" s="15"/>
      <c r="F31" s="15"/>
      <c r="G31" s="16"/>
      <c r="H31" s="29"/>
      <c r="N31" s="30" t="s">
        <v>188</v>
      </c>
      <c r="O31" s="31">
        <v>31.1</v>
      </c>
      <c r="P31" s="32">
        <v>24.5</v>
      </c>
      <c r="Q31" s="32">
        <v>0.62</v>
      </c>
      <c r="R31" s="32">
        <v>7.87</v>
      </c>
      <c r="S31" s="32">
        <v>1.0900000000000001</v>
      </c>
      <c r="T31" s="31">
        <v>2</v>
      </c>
      <c r="U31" s="83" t="s">
        <v>127</v>
      </c>
      <c r="V31" s="31">
        <v>3.61</v>
      </c>
      <c r="W31" s="84" t="s">
        <v>127</v>
      </c>
      <c r="X31" s="35">
        <f t="shared" si="0"/>
        <v>36</v>
      </c>
      <c r="Y31" s="36">
        <f t="shared" si="1"/>
        <v>1.9353552645444712</v>
      </c>
      <c r="Z31" s="34">
        <v>2.86</v>
      </c>
      <c r="AA31" s="31">
        <v>2940</v>
      </c>
      <c r="AB31" s="32">
        <v>240</v>
      </c>
      <c r="AC31" s="31">
        <v>9.7100000000000009</v>
      </c>
      <c r="AD31" s="31">
        <v>76.8</v>
      </c>
      <c r="AE31" s="32">
        <v>19.5</v>
      </c>
      <c r="AF31" s="31">
        <v>1.57</v>
      </c>
      <c r="AG31" s="37">
        <v>279</v>
      </c>
      <c r="AH31" s="31">
        <v>33.4</v>
      </c>
      <c r="AI31" s="37">
        <v>10.1</v>
      </c>
      <c r="AJ31" s="31">
        <v>10500</v>
      </c>
      <c r="AK31" s="31">
        <v>46.1</v>
      </c>
      <c r="AL31" s="31">
        <v>98.8</v>
      </c>
      <c r="AM31" s="31">
        <v>46.2</v>
      </c>
      <c r="AN31" s="31">
        <v>139</v>
      </c>
      <c r="AO31" s="83" t="s">
        <v>184</v>
      </c>
      <c r="AP31" s="39" t="s">
        <v>185</v>
      </c>
      <c r="AQ31" s="40">
        <f t="shared" si="2"/>
        <v>66.546668280237753</v>
      </c>
      <c r="AR31" s="41">
        <f t="shared" si="12"/>
        <v>23.41</v>
      </c>
      <c r="AS31" s="37">
        <f t="shared" si="3"/>
        <v>230.08389336535524</v>
      </c>
      <c r="AT31" s="42">
        <f t="shared" si="4"/>
        <v>13950</v>
      </c>
      <c r="AU31" s="31">
        <f t="shared" si="5"/>
        <v>8400</v>
      </c>
      <c r="AV31" s="31">
        <f t="shared" si="6"/>
        <v>33.937227423978541</v>
      </c>
      <c r="AW31" s="37">
        <f t="shared" si="7"/>
        <v>4428.8277709579997</v>
      </c>
      <c r="AX31" s="31">
        <f t="shared" si="8"/>
        <v>66.546668280237753</v>
      </c>
      <c r="AY31" s="42">
        <f t="shared" si="9"/>
        <v>15678.988667920423</v>
      </c>
      <c r="AZ31" s="42">
        <f t="shared" si="13"/>
        <v>1062918.6650299199</v>
      </c>
      <c r="BA31" s="42">
        <f t="shared" si="10"/>
        <v>15589.776259264243</v>
      </c>
      <c r="BB31" s="42">
        <f t="shared" si="11"/>
        <v>1670</v>
      </c>
      <c r="BC31" s="38">
        <f t="shared" si="14"/>
        <v>22.5</v>
      </c>
      <c r="BD31" s="38">
        <f t="shared" si="15"/>
        <v>36.29032258064516</v>
      </c>
      <c r="BE31" s="38">
        <f t="shared" si="16"/>
        <v>15.19</v>
      </c>
      <c r="BH31" s="34">
        <v>39.5</v>
      </c>
      <c r="BI31" s="43">
        <v>1.86</v>
      </c>
    </row>
    <row r="32" spans="1:61" ht="16.5" thickTop="1" thickBot="1">
      <c r="A32" s="107" t="s">
        <v>189</v>
      </c>
      <c r="B32" s="108">
        <f>0.9*J12/12</f>
        <v>13.725000000000001</v>
      </c>
      <c r="C32" s="171" t="s">
        <v>190</v>
      </c>
      <c r="D32" s="172"/>
      <c r="E32" s="15"/>
      <c r="F32" s="15"/>
      <c r="G32" s="16"/>
      <c r="H32" s="29"/>
      <c r="N32" s="30" t="s">
        <v>191</v>
      </c>
      <c r="O32" s="31">
        <v>29.3</v>
      </c>
      <c r="P32" s="32">
        <v>24</v>
      </c>
      <c r="Q32" s="32">
        <v>0.745</v>
      </c>
      <c r="R32" s="32">
        <v>7.25</v>
      </c>
      <c r="S32" s="32">
        <v>0.87</v>
      </c>
      <c r="T32" s="31">
        <v>1.75</v>
      </c>
      <c r="U32" s="83" t="s">
        <v>127</v>
      </c>
      <c r="V32" s="31">
        <v>4.16</v>
      </c>
      <c r="W32" s="84" t="s">
        <v>127</v>
      </c>
      <c r="X32" s="35">
        <f t="shared" si="0"/>
        <v>29.879194630872487</v>
      </c>
      <c r="Y32" s="36">
        <f t="shared" si="1"/>
        <v>1.659722384002758</v>
      </c>
      <c r="Z32" s="34">
        <v>3.81</v>
      </c>
      <c r="AA32" s="31">
        <v>2380</v>
      </c>
      <c r="AB32" s="32">
        <v>199</v>
      </c>
      <c r="AC32" s="31">
        <v>9.01</v>
      </c>
      <c r="AD32" s="31">
        <v>47.4</v>
      </c>
      <c r="AE32" s="32">
        <v>13.1</v>
      </c>
      <c r="AF32" s="31">
        <v>1.27</v>
      </c>
      <c r="AG32" s="37">
        <v>239</v>
      </c>
      <c r="AH32" s="31">
        <v>24</v>
      </c>
      <c r="AI32" s="37">
        <v>7.59</v>
      </c>
      <c r="AJ32" s="31">
        <v>6340</v>
      </c>
      <c r="AK32" s="31">
        <v>41.9</v>
      </c>
      <c r="AL32" s="31">
        <v>66</v>
      </c>
      <c r="AM32" s="31">
        <v>32.700000000000003</v>
      </c>
      <c r="AN32" s="31">
        <v>119</v>
      </c>
      <c r="AO32" s="83" t="s">
        <v>184</v>
      </c>
      <c r="AP32" s="39" t="s">
        <v>185</v>
      </c>
      <c r="AQ32" s="40">
        <f t="shared" si="2"/>
        <v>53.830744405033073</v>
      </c>
      <c r="AR32" s="41">
        <f t="shared" si="12"/>
        <v>23.13</v>
      </c>
      <c r="AS32" s="37">
        <f t="shared" si="3"/>
        <v>193.26004295579699</v>
      </c>
      <c r="AT32" s="42">
        <f t="shared" si="4"/>
        <v>11950</v>
      </c>
      <c r="AU32" s="31">
        <f t="shared" si="5"/>
        <v>6965</v>
      </c>
      <c r="AV32" s="31">
        <f t="shared" si="6"/>
        <v>35.752887318622228</v>
      </c>
      <c r="AW32" s="37">
        <f t="shared" si="7"/>
        <v>3260.7873406386243</v>
      </c>
      <c r="AX32" s="31">
        <f t="shared" si="8"/>
        <v>53.830744405033073</v>
      </c>
      <c r="AY32" s="42">
        <f t="shared" si="9"/>
        <v>13316.859496820194</v>
      </c>
      <c r="AZ32" s="42">
        <f t="shared" si="13"/>
        <v>648896.68078708625</v>
      </c>
      <c r="BA32" s="42">
        <f t="shared" si="10"/>
        <v>13422.844081519326</v>
      </c>
      <c r="BB32" s="42">
        <f t="shared" si="11"/>
        <v>1200</v>
      </c>
      <c r="BC32" s="38">
        <f t="shared" si="14"/>
        <v>22.25</v>
      </c>
      <c r="BD32" s="38">
        <f t="shared" si="15"/>
        <v>29.865771812080538</v>
      </c>
      <c r="BE32" s="38">
        <f t="shared" si="16"/>
        <v>17.88</v>
      </c>
      <c r="BH32" s="34">
        <v>32.200000000000003</v>
      </c>
      <c r="BI32" s="43">
        <v>1.59</v>
      </c>
    </row>
    <row r="33" spans="1:61" ht="16.5" thickTop="1" thickBot="1">
      <c r="A33" s="48" t="s">
        <v>192</v>
      </c>
      <c r="B33" s="67">
        <f>L7</f>
        <v>2.9953065128259877</v>
      </c>
      <c r="C33" s="67" t="s">
        <v>193</v>
      </c>
      <c r="D33" s="67">
        <f>L8</f>
        <v>2.9953065128259877</v>
      </c>
      <c r="E33" s="109" t="s">
        <v>194</v>
      </c>
      <c r="F33" s="109">
        <f>L9</f>
        <v>9.1680091372841286</v>
      </c>
      <c r="G33" s="16"/>
      <c r="H33" s="29"/>
      <c r="N33" s="30" t="s">
        <v>195</v>
      </c>
      <c r="O33" s="31">
        <v>26.5</v>
      </c>
      <c r="P33" s="32">
        <v>24</v>
      </c>
      <c r="Q33" s="32">
        <v>0.625</v>
      </c>
      <c r="R33" s="32">
        <v>7.13</v>
      </c>
      <c r="S33" s="32">
        <v>0.87</v>
      </c>
      <c r="T33" s="31">
        <v>1.75</v>
      </c>
      <c r="U33" s="83" t="s">
        <v>127</v>
      </c>
      <c r="V33" s="31">
        <v>4.09</v>
      </c>
      <c r="W33" s="84" t="s">
        <v>127</v>
      </c>
      <c r="X33" s="35">
        <f t="shared" si="0"/>
        <v>35.616</v>
      </c>
      <c r="Y33" s="36">
        <f t="shared" si="1"/>
        <v>1.6626689130547017</v>
      </c>
      <c r="Z33" s="34">
        <v>3.87</v>
      </c>
      <c r="AA33" s="31">
        <v>2250</v>
      </c>
      <c r="AB33" s="32">
        <v>187</v>
      </c>
      <c r="AC33" s="31">
        <v>9.2100000000000009</v>
      </c>
      <c r="AD33" s="31">
        <v>44.7</v>
      </c>
      <c r="AE33" s="32">
        <v>12.5</v>
      </c>
      <c r="AF33" s="31">
        <v>1.3</v>
      </c>
      <c r="AG33" s="37">
        <v>222</v>
      </c>
      <c r="AH33" s="31">
        <v>22.4</v>
      </c>
      <c r="AI33" s="37">
        <v>6.05</v>
      </c>
      <c r="AJ33" s="31">
        <v>5980</v>
      </c>
      <c r="AK33" s="31">
        <v>41.2</v>
      </c>
      <c r="AL33" s="31">
        <v>63.8</v>
      </c>
      <c r="AM33" s="31">
        <v>32.700000000000003</v>
      </c>
      <c r="AN33" s="31">
        <v>110</v>
      </c>
      <c r="AO33" s="83" t="s">
        <v>184</v>
      </c>
      <c r="AP33" s="39" t="s">
        <v>185</v>
      </c>
      <c r="AQ33" s="40">
        <f t="shared" si="2"/>
        <v>55.102336792553551</v>
      </c>
      <c r="AR33" s="41">
        <f t="shared" si="12"/>
        <v>23.13</v>
      </c>
      <c r="AS33" s="37">
        <f t="shared" si="3"/>
        <v>186.78304576770273</v>
      </c>
      <c r="AT33" s="42">
        <f t="shared" si="4"/>
        <v>11100</v>
      </c>
      <c r="AU33" s="31">
        <f t="shared" si="5"/>
        <v>6545</v>
      </c>
      <c r="AV33" s="31">
        <f t="shared" si="6"/>
        <v>34.591247536946518</v>
      </c>
      <c r="AW33" s="37">
        <f t="shared" si="7"/>
        <v>3269.5294571340128</v>
      </c>
      <c r="AX33" s="31">
        <f t="shared" si="8"/>
        <v>55.102336792553551</v>
      </c>
      <c r="AY33" s="42">
        <f t="shared" si="9"/>
        <v>12466.43511027905</v>
      </c>
      <c r="AZ33" s="42">
        <f t="shared" si="13"/>
        <v>611402.00848406041</v>
      </c>
      <c r="BA33" s="42">
        <f t="shared" si="10"/>
        <v>12445.798353324077</v>
      </c>
      <c r="BB33" s="42">
        <f t="shared" si="11"/>
        <v>1120</v>
      </c>
      <c r="BC33" s="38">
        <f t="shared" si="14"/>
        <v>22.25</v>
      </c>
      <c r="BD33" s="38">
        <f t="shared" si="15"/>
        <v>35.6</v>
      </c>
      <c r="BE33" s="38">
        <f t="shared" si="16"/>
        <v>15</v>
      </c>
      <c r="BH33" s="34">
        <v>38.4</v>
      </c>
      <c r="BI33" s="43">
        <v>1.6</v>
      </c>
    </row>
    <row r="34" spans="1:61" ht="16.5" thickTop="1" thickBot="1">
      <c r="A34" s="110" t="s">
        <v>196</v>
      </c>
      <c r="B34" s="111">
        <f>IF(J16&gt;B31,B31,J16)</f>
        <v>109.875</v>
      </c>
      <c r="C34" s="171" t="s">
        <v>197</v>
      </c>
      <c r="D34" s="182"/>
      <c r="E34" s="182"/>
      <c r="F34" s="172"/>
      <c r="G34" s="16"/>
      <c r="H34" s="29"/>
      <c r="N34" s="30" t="s">
        <v>198</v>
      </c>
      <c r="O34" s="31">
        <v>23.5</v>
      </c>
      <c r="P34" s="32">
        <v>24</v>
      </c>
      <c r="Q34" s="32">
        <v>0.5</v>
      </c>
      <c r="R34" s="32">
        <v>7</v>
      </c>
      <c r="S34" s="32">
        <v>0.87</v>
      </c>
      <c r="T34" s="31">
        <v>1.75</v>
      </c>
      <c r="U34" s="83" t="s">
        <v>127</v>
      </c>
      <c r="V34" s="31">
        <v>4.0199999999999996</v>
      </c>
      <c r="W34" s="84" t="s">
        <v>127</v>
      </c>
      <c r="X34" s="35">
        <f t="shared" si="0"/>
        <v>44.52</v>
      </c>
      <c r="Y34" s="36">
        <f t="shared" si="1"/>
        <v>1.6660132052297785</v>
      </c>
      <c r="Z34" s="34">
        <v>3.94</v>
      </c>
      <c r="AA34" s="31">
        <v>2100</v>
      </c>
      <c r="AB34" s="32">
        <v>175</v>
      </c>
      <c r="AC34" s="31">
        <v>9.4700000000000006</v>
      </c>
      <c r="AD34" s="31">
        <v>42</v>
      </c>
      <c r="AE34" s="32">
        <v>12</v>
      </c>
      <c r="AF34" s="31">
        <v>1.34</v>
      </c>
      <c r="AG34" s="37">
        <v>204</v>
      </c>
      <c r="AH34" s="31">
        <v>20.8</v>
      </c>
      <c r="AI34" s="37">
        <v>4.8899999999999997</v>
      </c>
      <c r="AJ34" s="31">
        <v>5620</v>
      </c>
      <c r="AK34" s="31">
        <v>40.5</v>
      </c>
      <c r="AL34" s="31">
        <v>61.6</v>
      </c>
      <c r="AM34" s="31">
        <v>32.700000000000003</v>
      </c>
      <c r="AN34" s="31">
        <v>101</v>
      </c>
      <c r="AO34" s="83" t="s">
        <v>184</v>
      </c>
      <c r="AP34" s="39" t="s">
        <v>185</v>
      </c>
      <c r="AQ34" s="40">
        <f t="shared" si="2"/>
        <v>56.797793309247503</v>
      </c>
      <c r="AR34" s="41">
        <f t="shared" si="12"/>
        <v>23.13</v>
      </c>
      <c r="AS34" s="37">
        <f t="shared" si="3"/>
        <v>181.9810567202463</v>
      </c>
      <c r="AT34" s="42">
        <f t="shared" si="4"/>
        <v>10200</v>
      </c>
      <c r="AU34" s="31">
        <f t="shared" si="5"/>
        <v>6125</v>
      </c>
      <c r="AV34" s="31">
        <f t="shared" si="6"/>
        <v>32.55227487256866</v>
      </c>
      <c r="AW34" s="37">
        <f t="shared" si="7"/>
        <v>3280.5121362142204</v>
      </c>
      <c r="AX34" s="31">
        <f t="shared" si="8"/>
        <v>56.797793309247503</v>
      </c>
      <c r="AY34" s="42">
        <f t="shared" si="9"/>
        <v>11541.081891945894</v>
      </c>
      <c r="AZ34" s="42">
        <f t="shared" si="13"/>
        <v>574089.62383748859</v>
      </c>
      <c r="BA34" s="42">
        <f t="shared" si="10"/>
        <v>11403.979866036359</v>
      </c>
      <c r="BB34" s="42">
        <f t="shared" si="11"/>
        <v>1040</v>
      </c>
      <c r="BC34" s="38">
        <f t="shared" si="14"/>
        <v>22.25</v>
      </c>
      <c r="BD34" s="38">
        <f t="shared" si="15"/>
        <v>44.5</v>
      </c>
      <c r="BE34" s="38">
        <f t="shared" si="16"/>
        <v>12</v>
      </c>
      <c r="BH34" s="34">
        <v>48</v>
      </c>
      <c r="BI34" s="43">
        <v>1.61</v>
      </c>
    </row>
    <row r="35" spans="1:61" ht="15.75" thickTop="1">
      <c r="A35" s="48" t="s">
        <v>66</v>
      </c>
      <c r="B35" s="67">
        <f>0.38*((B10/B11)^0.5)</f>
        <v>9.1516118798821449</v>
      </c>
      <c r="C35" s="19"/>
      <c r="D35" s="19"/>
      <c r="E35" s="16"/>
      <c r="F35" s="16"/>
      <c r="G35" s="16"/>
      <c r="H35" s="29"/>
      <c r="N35" s="30" t="s">
        <v>199</v>
      </c>
      <c r="O35" s="31">
        <v>28.2</v>
      </c>
      <c r="P35" s="32">
        <v>20.3</v>
      </c>
      <c r="Q35" s="32">
        <v>0.8</v>
      </c>
      <c r="R35" s="32">
        <v>7.2</v>
      </c>
      <c r="S35" s="32">
        <v>0.92</v>
      </c>
      <c r="T35" s="31">
        <v>1.75</v>
      </c>
      <c r="U35" s="83" t="s">
        <v>127</v>
      </c>
      <c r="V35" s="31">
        <v>3.91</v>
      </c>
      <c r="W35" s="84" t="s">
        <v>127</v>
      </c>
      <c r="X35" s="35">
        <f t="shared" si="0"/>
        <v>23.074999999999999</v>
      </c>
      <c r="Y35" s="36">
        <f t="shared" si="1"/>
        <v>1.7118676669330806</v>
      </c>
      <c r="Z35" s="34">
        <v>3.06</v>
      </c>
      <c r="AA35" s="31">
        <v>1670</v>
      </c>
      <c r="AB35" s="32">
        <v>165</v>
      </c>
      <c r="AC35" s="31">
        <v>7.71</v>
      </c>
      <c r="AD35" s="31">
        <v>49.9</v>
      </c>
      <c r="AE35" s="32">
        <v>13.9</v>
      </c>
      <c r="AF35" s="31">
        <v>1.33</v>
      </c>
      <c r="AG35" s="37">
        <v>198</v>
      </c>
      <c r="AH35" s="31">
        <v>24.9</v>
      </c>
      <c r="AI35" s="37">
        <v>8.4</v>
      </c>
      <c r="AJ35" s="31">
        <v>4690</v>
      </c>
      <c r="AK35" s="31">
        <v>34.9</v>
      </c>
      <c r="AL35" s="31">
        <v>57.8</v>
      </c>
      <c r="AM35" s="31">
        <v>28.5</v>
      </c>
      <c r="AN35" s="31">
        <v>98.3</v>
      </c>
      <c r="AO35" s="83" t="s">
        <v>200</v>
      </c>
      <c r="AP35" s="39" t="s">
        <v>185</v>
      </c>
      <c r="AQ35" s="40">
        <f t="shared" si="2"/>
        <v>56.373929180074015</v>
      </c>
      <c r="AR35" s="41">
        <f t="shared" si="12"/>
        <v>19.38</v>
      </c>
      <c r="AS35" s="37">
        <f t="shared" si="3"/>
        <v>226.7222131686151</v>
      </c>
      <c r="AT35" s="42">
        <f t="shared" si="4"/>
        <v>9900</v>
      </c>
      <c r="AU35" s="31">
        <f t="shared" si="5"/>
        <v>5775</v>
      </c>
      <c r="AV35" s="31">
        <f t="shared" si="6"/>
        <v>24.215095705205218</v>
      </c>
      <c r="AW35" s="37">
        <f t="shared" si="7"/>
        <v>3478.5820336312445</v>
      </c>
      <c r="AX35" s="31">
        <f t="shared" si="8"/>
        <v>56.373929180074015</v>
      </c>
      <c r="AY35" s="42">
        <f t="shared" si="9"/>
        <v>10887.344597372752</v>
      </c>
      <c r="AZ35" s="42">
        <f t="shared" si="13"/>
        <v>573966.03554915532</v>
      </c>
      <c r="BA35" s="42">
        <f t="shared" si="10"/>
        <v>11118.752625128829</v>
      </c>
      <c r="BB35" s="42">
        <f t="shared" si="11"/>
        <v>1245</v>
      </c>
      <c r="BC35" s="38">
        <f t="shared" si="14"/>
        <v>18.55</v>
      </c>
      <c r="BD35" s="38">
        <f t="shared" si="15"/>
        <v>23.1875</v>
      </c>
      <c r="BE35" s="38">
        <f t="shared" si="16"/>
        <v>16.240000000000002</v>
      </c>
      <c r="BH35" s="34">
        <v>25.4</v>
      </c>
      <c r="BI35" s="43">
        <v>1.63</v>
      </c>
    </row>
    <row r="36" spans="1:61" ht="15.75" thickBot="1">
      <c r="A36" s="48" t="s">
        <v>72</v>
      </c>
      <c r="B36" s="67">
        <f>(B10/B11)^0.5</f>
        <v>24.083189157584592</v>
      </c>
      <c r="C36" s="19"/>
      <c r="D36" s="16"/>
      <c r="E36" s="16"/>
      <c r="F36" s="16"/>
      <c r="G36" s="16"/>
      <c r="H36" s="29"/>
      <c r="N36" s="30" t="s">
        <v>201</v>
      </c>
      <c r="O36" s="31">
        <v>25.3</v>
      </c>
      <c r="P36" s="32">
        <v>20.3</v>
      </c>
      <c r="Q36" s="32">
        <v>0.66</v>
      </c>
      <c r="R36" s="32">
        <v>7.06</v>
      </c>
      <c r="S36" s="32">
        <v>0.92</v>
      </c>
      <c r="T36" s="31">
        <v>1.75</v>
      </c>
      <c r="U36" s="83" t="s">
        <v>127</v>
      </c>
      <c r="V36" s="31">
        <v>3.84</v>
      </c>
      <c r="W36" s="84" t="s">
        <v>127</v>
      </c>
      <c r="X36" s="35">
        <f t="shared" si="0"/>
        <v>27.969696969696969</v>
      </c>
      <c r="Y36" s="36">
        <f t="shared" si="1"/>
        <v>1.7068250094556341</v>
      </c>
      <c r="Z36" s="34">
        <v>3.13</v>
      </c>
      <c r="AA36" s="31">
        <v>1570</v>
      </c>
      <c r="AB36" s="32">
        <v>155</v>
      </c>
      <c r="AC36" s="31">
        <v>7.89</v>
      </c>
      <c r="AD36" s="31">
        <v>46.6</v>
      </c>
      <c r="AE36" s="32">
        <v>13.2</v>
      </c>
      <c r="AF36" s="31">
        <v>1.36</v>
      </c>
      <c r="AG36" s="37">
        <v>183</v>
      </c>
      <c r="AH36" s="31">
        <v>23.1</v>
      </c>
      <c r="AI36" s="37">
        <v>6.65</v>
      </c>
      <c r="AJ36" s="31">
        <v>4380</v>
      </c>
      <c r="AK36" s="31">
        <v>34.200000000000003</v>
      </c>
      <c r="AL36" s="31">
        <v>55.5</v>
      </c>
      <c r="AM36" s="31">
        <v>28.5</v>
      </c>
      <c r="AN36" s="31">
        <v>91.1</v>
      </c>
      <c r="AO36" s="83" t="s">
        <v>200</v>
      </c>
      <c r="AP36" s="39" t="s">
        <v>185</v>
      </c>
      <c r="AQ36" s="40">
        <f t="shared" si="2"/>
        <v>57.645521567594486</v>
      </c>
      <c r="AR36" s="41">
        <f t="shared" si="12"/>
        <v>19.38</v>
      </c>
      <c r="AS36" s="37">
        <f t="shared" si="3"/>
        <v>214.57342580558361</v>
      </c>
      <c r="AT36" s="42">
        <f t="shared" si="4"/>
        <v>9150</v>
      </c>
      <c r="AU36" s="31">
        <f t="shared" si="5"/>
        <v>5425</v>
      </c>
      <c r="AV36" s="31">
        <f t="shared" si="6"/>
        <v>23.73701489284435</v>
      </c>
      <c r="AW36" s="37">
        <f t="shared" si="7"/>
        <v>3453.7106659926167</v>
      </c>
      <c r="AX36" s="31">
        <f t="shared" si="8"/>
        <v>57.645521567594486</v>
      </c>
      <c r="AY36" s="42">
        <f t="shared" si="9"/>
        <v>10148.035171627398</v>
      </c>
      <c r="AZ36" s="42">
        <f t="shared" si="13"/>
        <v>535325.15322885558</v>
      </c>
      <c r="BA36" s="42">
        <f t="shared" si="10"/>
        <v>10250.570552389065</v>
      </c>
      <c r="BB36" s="42">
        <f t="shared" si="11"/>
        <v>1155</v>
      </c>
      <c r="BC36" s="38">
        <f t="shared" si="14"/>
        <v>18.55</v>
      </c>
      <c r="BD36" s="38">
        <f t="shared" si="15"/>
        <v>28.106060606060606</v>
      </c>
      <c r="BE36" s="38">
        <f t="shared" si="16"/>
        <v>13.398000000000001</v>
      </c>
      <c r="BH36" s="34">
        <v>30.798999999999999</v>
      </c>
      <c r="BI36" s="43">
        <v>1.63</v>
      </c>
    </row>
    <row r="37" spans="1:61" ht="16.5" thickTop="1" thickBot="1">
      <c r="A37" s="112" t="s">
        <v>202</v>
      </c>
      <c r="B37" s="113">
        <f>VLOOKUP(B2,N2:AZ376,9,FALSE)</f>
        <v>4.74</v>
      </c>
      <c r="C37" s="171" t="str">
        <f>IF(B37&lt;=B35,"compact flange","non-compact flange")</f>
        <v>compact flange</v>
      </c>
      <c r="D37" s="172"/>
      <c r="E37" s="15"/>
      <c r="F37" s="16"/>
      <c r="G37" s="16"/>
      <c r="H37" s="29"/>
      <c r="N37" s="30" t="s">
        <v>203</v>
      </c>
      <c r="O37" s="31">
        <v>22</v>
      </c>
      <c r="P37" s="32">
        <v>20</v>
      </c>
      <c r="Q37" s="32">
        <v>0.63500000000000001</v>
      </c>
      <c r="R37" s="32">
        <v>6.39</v>
      </c>
      <c r="S37" s="32">
        <v>0.79500000000000004</v>
      </c>
      <c r="T37" s="31">
        <v>1.625</v>
      </c>
      <c r="U37" s="83" t="s">
        <v>127</v>
      </c>
      <c r="V37" s="31">
        <v>4.0199999999999996</v>
      </c>
      <c r="W37" s="84" t="s">
        <v>127</v>
      </c>
      <c r="X37" s="35">
        <f t="shared" si="0"/>
        <v>28.992125984251967</v>
      </c>
      <c r="Y37" s="36">
        <f t="shared" si="1"/>
        <v>1.4876411435137842</v>
      </c>
      <c r="Z37" s="34">
        <v>3.94</v>
      </c>
      <c r="AA37" s="31">
        <v>1280</v>
      </c>
      <c r="AB37" s="32">
        <v>128</v>
      </c>
      <c r="AC37" s="31">
        <v>7.62</v>
      </c>
      <c r="AD37" s="31">
        <v>29.5</v>
      </c>
      <c r="AE37" s="32">
        <v>9.25</v>
      </c>
      <c r="AF37" s="31">
        <v>1.1599999999999999</v>
      </c>
      <c r="AG37" s="37">
        <v>152</v>
      </c>
      <c r="AH37" s="31">
        <v>16.7</v>
      </c>
      <c r="AI37" s="37">
        <v>4.59</v>
      </c>
      <c r="AJ37" s="31">
        <v>2720</v>
      </c>
      <c r="AK37" s="31">
        <v>30.7</v>
      </c>
      <c r="AL37" s="31">
        <v>38.9</v>
      </c>
      <c r="AM37" s="31">
        <v>21.9</v>
      </c>
      <c r="AN37" s="31">
        <v>75.599999999999994</v>
      </c>
      <c r="AO37" s="83" t="s">
        <v>200</v>
      </c>
      <c r="AP37" s="39" t="s">
        <v>204</v>
      </c>
      <c r="AQ37" s="40">
        <f t="shared" si="2"/>
        <v>49.168238984124699</v>
      </c>
      <c r="AR37" s="41">
        <f t="shared" si="12"/>
        <v>19.204999999999998</v>
      </c>
      <c r="AS37" s="37">
        <f t="shared" si="3"/>
        <v>178.55759728363756</v>
      </c>
      <c r="AT37" s="42">
        <f t="shared" si="4"/>
        <v>7600</v>
      </c>
      <c r="AU37" s="31">
        <f t="shared" si="5"/>
        <v>4480</v>
      </c>
      <c r="AV37" s="31">
        <f t="shared" si="6"/>
        <v>24.113265889902369</v>
      </c>
      <c r="AW37" s="37">
        <f t="shared" si="7"/>
        <v>2625.6968007877026</v>
      </c>
      <c r="AX37" s="31">
        <f t="shared" si="8"/>
        <v>49.168238984124699</v>
      </c>
      <c r="AY37" s="42">
        <f t="shared" si="9"/>
        <v>8409.4398720799854</v>
      </c>
      <c r="AZ37" s="42">
        <f t="shared" si="13"/>
        <v>336089.19050082593</v>
      </c>
      <c r="BA37" s="42">
        <f t="shared" si="10"/>
        <v>8521.8201673701697</v>
      </c>
      <c r="BB37" s="42">
        <f t="shared" si="11"/>
        <v>835</v>
      </c>
      <c r="BC37" s="38">
        <f t="shared" si="14"/>
        <v>18.375</v>
      </c>
      <c r="BD37" s="38">
        <f t="shared" si="15"/>
        <v>28.937007874015748</v>
      </c>
      <c r="BE37" s="38">
        <f t="shared" si="16"/>
        <v>12.7</v>
      </c>
      <c r="BH37" s="34">
        <v>31.5</v>
      </c>
      <c r="BI37" s="43">
        <v>1.43</v>
      </c>
    </row>
    <row r="38" spans="1:61" ht="16.5" thickTop="1" thickBot="1">
      <c r="A38" s="107" t="s">
        <v>205</v>
      </c>
      <c r="B38" s="114">
        <f>IF(B37&lt;=B35,0,J18*0.9/12)</f>
        <v>0</v>
      </c>
      <c r="C38" s="171" t="s">
        <v>206</v>
      </c>
      <c r="D38" s="182"/>
      <c r="E38" s="182"/>
      <c r="F38" s="172"/>
      <c r="G38" s="16"/>
      <c r="H38" s="29"/>
      <c r="N38" s="30" t="s">
        <v>207</v>
      </c>
      <c r="O38" s="31">
        <v>19.399999999999999</v>
      </c>
      <c r="P38" s="32">
        <v>20</v>
      </c>
      <c r="Q38" s="32">
        <v>0.505</v>
      </c>
      <c r="R38" s="32">
        <v>6.26</v>
      </c>
      <c r="S38" s="32">
        <v>0.79500000000000004</v>
      </c>
      <c r="T38" s="31">
        <v>1.625</v>
      </c>
      <c r="U38" s="83" t="s">
        <v>127</v>
      </c>
      <c r="V38" s="31">
        <v>3.93</v>
      </c>
      <c r="W38" s="84" t="s">
        <v>127</v>
      </c>
      <c r="X38" s="35">
        <f t="shared" si="0"/>
        <v>36.455445544554458</v>
      </c>
      <c r="Y38" s="36">
        <f t="shared" si="1"/>
        <v>1.4896526863837825</v>
      </c>
      <c r="Z38" s="34">
        <v>4.0199999999999996</v>
      </c>
      <c r="AA38" s="31">
        <v>1190</v>
      </c>
      <c r="AB38" s="32">
        <v>119</v>
      </c>
      <c r="AC38" s="31">
        <v>7.83</v>
      </c>
      <c r="AD38" s="31">
        <v>27.5</v>
      </c>
      <c r="AE38" s="32">
        <v>8.7799999999999994</v>
      </c>
      <c r="AF38" s="31">
        <v>1.19</v>
      </c>
      <c r="AG38" s="37">
        <v>139</v>
      </c>
      <c r="AH38" s="31">
        <v>15.4</v>
      </c>
      <c r="AI38" s="37">
        <v>3.58</v>
      </c>
      <c r="AJ38" s="31">
        <v>2540</v>
      </c>
      <c r="AK38" s="31">
        <v>30</v>
      </c>
      <c r="AL38" s="31">
        <v>37.299999999999997</v>
      </c>
      <c r="AM38" s="31">
        <v>21.9</v>
      </c>
      <c r="AN38" s="31">
        <v>69.099999999999994</v>
      </c>
      <c r="AO38" s="83" t="s">
        <v>200</v>
      </c>
      <c r="AP38" s="39" t="s">
        <v>204</v>
      </c>
      <c r="AQ38" s="40">
        <f t="shared" si="2"/>
        <v>50.439831371645163</v>
      </c>
      <c r="AR38" s="41">
        <f t="shared" si="12"/>
        <v>19.204999999999998</v>
      </c>
      <c r="AS38" s="37">
        <f t="shared" si="3"/>
        <v>171.43936457371015</v>
      </c>
      <c r="AT38" s="42">
        <f t="shared" si="4"/>
        <v>6950</v>
      </c>
      <c r="AU38" s="31">
        <f t="shared" si="5"/>
        <v>4165</v>
      </c>
      <c r="AV38" s="31">
        <f t="shared" si="6"/>
        <v>23.016617719914237</v>
      </c>
      <c r="AW38" s="37">
        <f t="shared" si="7"/>
        <v>2629.4112676458785</v>
      </c>
      <c r="AX38" s="31">
        <f t="shared" si="8"/>
        <v>50.439831371645163</v>
      </c>
      <c r="AY38" s="42">
        <f t="shared" si="9"/>
        <v>7751.8950801074316</v>
      </c>
      <c r="AZ38" s="42">
        <f t="shared" si="13"/>
        <v>312899.94084985956</v>
      </c>
      <c r="BA38" s="42">
        <f t="shared" si="10"/>
        <v>7772.8426814506165</v>
      </c>
      <c r="BB38" s="42">
        <f t="shared" si="11"/>
        <v>770</v>
      </c>
      <c r="BC38" s="38">
        <f t="shared" si="14"/>
        <v>18.375</v>
      </c>
      <c r="BD38" s="38">
        <f t="shared" si="15"/>
        <v>36.386138613861384</v>
      </c>
      <c r="BE38" s="38">
        <f t="shared" si="16"/>
        <v>10.1</v>
      </c>
      <c r="BH38" s="34">
        <v>39.598999999999997</v>
      </c>
      <c r="BI38" s="43">
        <v>1.44</v>
      </c>
    </row>
    <row r="39" spans="1:61" ht="15.75" thickTop="1">
      <c r="A39" s="48" t="s">
        <v>208</v>
      </c>
      <c r="B39" s="115">
        <f>IF(B38=0,B34,J19)</f>
        <v>109.875</v>
      </c>
      <c r="C39" s="16"/>
      <c r="D39" s="16"/>
      <c r="E39" s="15"/>
      <c r="F39" s="15"/>
      <c r="G39" s="16"/>
      <c r="H39" s="29"/>
      <c r="N39" s="30" t="s">
        <v>209</v>
      </c>
      <c r="O39" s="31">
        <v>20.5</v>
      </c>
      <c r="P39" s="32">
        <v>18</v>
      </c>
      <c r="Q39" s="32">
        <v>0.71099999999999997</v>
      </c>
      <c r="R39" s="32">
        <v>6.25</v>
      </c>
      <c r="S39" s="32">
        <v>0.69099999999999995</v>
      </c>
      <c r="T39" s="31">
        <v>1.5</v>
      </c>
      <c r="U39" s="83" t="s">
        <v>127</v>
      </c>
      <c r="V39" s="31">
        <v>4.5199999999999996</v>
      </c>
      <c r="W39" s="84" t="s">
        <v>127</v>
      </c>
      <c r="X39" s="35">
        <f t="shared" si="0"/>
        <v>23.372714486638536</v>
      </c>
      <c r="Y39" s="36">
        <f t="shared" si="1"/>
        <v>1.4200642676554625</v>
      </c>
      <c r="Z39" s="34">
        <v>4.17</v>
      </c>
      <c r="AA39" s="31">
        <v>923</v>
      </c>
      <c r="AB39" s="32">
        <v>103</v>
      </c>
      <c r="AC39" s="31">
        <v>6.7</v>
      </c>
      <c r="AD39" s="31">
        <v>24</v>
      </c>
      <c r="AE39" s="32">
        <v>7.69</v>
      </c>
      <c r="AF39" s="31">
        <v>1.08</v>
      </c>
      <c r="AG39" s="37">
        <v>124</v>
      </c>
      <c r="AH39" s="31">
        <v>14.3</v>
      </c>
      <c r="AI39" s="37">
        <v>4.0999999999999996</v>
      </c>
      <c r="AJ39" s="31">
        <v>1800</v>
      </c>
      <c r="AK39" s="31">
        <v>27</v>
      </c>
      <c r="AL39" s="31">
        <v>29.2</v>
      </c>
      <c r="AM39" s="31">
        <v>16.600000000000001</v>
      </c>
      <c r="AN39" s="31">
        <v>61.9</v>
      </c>
      <c r="AO39" s="83" t="s">
        <v>210</v>
      </c>
      <c r="AP39" s="39" t="s">
        <v>204</v>
      </c>
      <c r="AQ39" s="40">
        <f t="shared" si="2"/>
        <v>45.777325950736795</v>
      </c>
      <c r="AR39" s="41">
        <f t="shared" si="12"/>
        <v>17.309000000000001</v>
      </c>
      <c r="AS39" s="37">
        <f t="shared" si="3"/>
        <v>180.5188293404176</v>
      </c>
      <c r="AT39" s="42">
        <f t="shared" si="4"/>
        <v>6200</v>
      </c>
      <c r="AU39" s="31">
        <f t="shared" si="5"/>
        <v>3605</v>
      </c>
      <c r="AV39" s="31">
        <f t="shared" si="6"/>
        <v>19.259099347400767</v>
      </c>
      <c r="AW39" s="37">
        <f t="shared" si="7"/>
        <v>2399.1895677021444</v>
      </c>
      <c r="AX39" s="31">
        <f t="shared" si="8"/>
        <v>45.777325950736795</v>
      </c>
      <c r="AY39" s="42">
        <f t="shared" si="9"/>
        <v>6781.1881185241355</v>
      </c>
      <c r="AZ39" s="42">
        <f t="shared" si="13"/>
        <v>247116.52547332086</v>
      </c>
      <c r="BA39" s="42">
        <f t="shared" si="10"/>
        <v>6966.7061968992275</v>
      </c>
      <c r="BB39" s="42">
        <f t="shared" si="11"/>
        <v>715</v>
      </c>
      <c r="BC39" s="38">
        <f t="shared" si="14"/>
        <v>16.5</v>
      </c>
      <c r="BD39" s="38">
        <f t="shared" si="15"/>
        <v>23.206751054852322</v>
      </c>
      <c r="BE39" s="38">
        <f t="shared" si="16"/>
        <v>12.798</v>
      </c>
      <c r="BH39" s="34">
        <v>25.298999999999999</v>
      </c>
      <c r="BI39" s="43">
        <v>1.36</v>
      </c>
    </row>
    <row r="40" spans="1:61" ht="15.75" thickBot="1">
      <c r="A40" s="107" t="s">
        <v>211</v>
      </c>
      <c r="B40" s="108">
        <f>B32</f>
        <v>13.725000000000001</v>
      </c>
      <c r="C40" s="16"/>
      <c r="D40" s="16"/>
      <c r="E40" s="15"/>
      <c r="F40" s="16"/>
      <c r="G40" s="16"/>
      <c r="H40" s="29"/>
      <c r="N40" s="30" t="s">
        <v>212</v>
      </c>
      <c r="O40" s="31">
        <v>16</v>
      </c>
      <c r="P40" s="32">
        <v>18</v>
      </c>
      <c r="Q40" s="32">
        <v>0.46100000000000002</v>
      </c>
      <c r="R40" s="32">
        <v>6</v>
      </c>
      <c r="S40" s="32">
        <v>0.69099999999999995</v>
      </c>
      <c r="T40" s="31">
        <v>1.5</v>
      </c>
      <c r="U40" s="83" t="s">
        <v>127</v>
      </c>
      <c r="V40" s="31">
        <v>4.34</v>
      </c>
      <c r="W40" s="84" t="s">
        <v>127</v>
      </c>
      <c r="X40" s="35">
        <f t="shared" si="0"/>
        <v>36.047722342733181</v>
      </c>
      <c r="Y40" s="36">
        <f t="shared" si="1"/>
        <v>1.4187672683698878</v>
      </c>
      <c r="Z40" s="34">
        <v>4.34</v>
      </c>
      <c r="AA40" s="31">
        <v>801</v>
      </c>
      <c r="AB40" s="32">
        <v>89</v>
      </c>
      <c r="AC40" s="31">
        <v>7.07</v>
      </c>
      <c r="AD40" s="31">
        <v>20.7</v>
      </c>
      <c r="AE40" s="32">
        <v>6.91</v>
      </c>
      <c r="AF40" s="31">
        <v>1.1399999999999999</v>
      </c>
      <c r="AG40" s="37">
        <v>104</v>
      </c>
      <c r="AH40" s="31">
        <v>12.1</v>
      </c>
      <c r="AI40" s="37">
        <v>2.33</v>
      </c>
      <c r="AJ40" s="31">
        <v>1550</v>
      </c>
      <c r="AK40" s="31">
        <v>26</v>
      </c>
      <c r="AL40" s="31">
        <v>26.9</v>
      </c>
      <c r="AM40" s="31">
        <v>16.600000000000001</v>
      </c>
      <c r="AN40" s="31">
        <v>51.8</v>
      </c>
      <c r="AO40" s="83" t="s">
        <v>210</v>
      </c>
      <c r="AP40" s="39" t="s">
        <v>204</v>
      </c>
      <c r="AQ40" s="40">
        <f t="shared" si="2"/>
        <v>48.320510725777716</v>
      </c>
      <c r="AR40" s="41">
        <f t="shared" si="12"/>
        <v>17.309000000000001</v>
      </c>
      <c r="AS40" s="37">
        <f t="shared" si="3"/>
        <v>162.02553970225122</v>
      </c>
      <c r="AT40" s="42">
        <f t="shared" si="4"/>
        <v>5200</v>
      </c>
      <c r="AU40" s="31">
        <f t="shared" si="5"/>
        <v>3115</v>
      </c>
      <c r="AV40" s="31">
        <f t="shared" si="6"/>
        <v>18.336919824640329</v>
      </c>
      <c r="AW40" s="37">
        <f t="shared" si="7"/>
        <v>2386.1389348366956</v>
      </c>
      <c r="AX40" s="31">
        <f t="shared" si="8"/>
        <v>48.320510725777716</v>
      </c>
      <c r="AY40" s="42">
        <f t="shared" si="9"/>
        <v>5799.9933817998699</v>
      </c>
      <c r="AZ40" s="42">
        <f t="shared" si="13"/>
        <v>212366.36520046592</v>
      </c>
      <c r="BA40" s="42">
        <f t="shared" si="10"/>
        <v>5816.024054156027</v>
      </c>
      <c r="BB40" s="42">
        <f t="shared" si="11"/>
        <v>605</v>
      </c>
      <c r="BC40" s="38">
        <f t="shared" si="14"/>
        <v>16.5</v>
      </c>
      <c r="BD40" s="38">
        <f t="shared" si="15"/>
        <v>35.791757049891537</v>
      </c>
      <c r="BE40" s="38">
        <f t="shared" si="16"/>
        <v>8.298</v>
      </c>
      <c r="BH40" s="34">
        <v>39</v>
      </c>
      <c r="BI40" s="43">
        <v>1.37</v>
      </c>
    </row>
    <row r="41" spans="1:61" ht="16.5" thickTop="1" thickBot="1">
      <c r="A41" s="69" t="s">
        <v>213</v>
      </c>
      <c r="B41" s="116">
        <f>(B15/B39)+(B16/B32)</f>
        <v>0.14562002275312855</v>
      </c>
      <c r="C41" s="171" t="str">
        <f>IF(B41&lt;=1,"SAFE","UNSAFE")</f>
        <v>SAFE</v>
      </c>
      <c r="D41" s="172"/>
      <c r="E41" s="15"/>
      <c r="F41" s="16"/>
      <c r="G41" s="16"/>
      <c r="H41" s="29"/>
      <c r="N41" s="30" t="s">
        <v>214</v>
      </c>
      <c r="O41" s="31">
        <v>14.7</v>
      </c>
      <c r="P41" s="32">
        <v>15</v>
      </c>
      <c r="Q41" s="32">
        <v>0.55000000000000004</v>
      </c>
      <c r="R41" s="32">
        <v>5.64</v>
      </c>
      <c r="S41" s="32">
        <v>0.622</v>
      </c>
      <c r="T41" s="31">
        <v>1.375</v>
      </c>
      <c r="U41" s="83" t="s">
        <v>127</v>
      </c>
      <c r="V41" s="31">
        <v>4.53</v>
      </c>
      <c r="W41" s="84" t="s">
        <v>127</v>
      </c>
      <c r="X41" s="35">
        <f t="shared" si="0"/>
        <v>25.010909090909088</v>
      </c>
      <c r="Y41" s="36">
        <f t="shared" si="1"/>
        <v>1.3165713515216728</v>
      </c>
      <c r="Z41" s="34">
        <v>4.28</v>
      </c>
      <c r="AA41" s="31">
        <v>485</v>
      </c>
      <c r="AB41" s="32">
        <v>64.7</v>
      </c>
      <c r="AC41" s="31">
        <v>5.75</v>
      </c>
      <c r="AD41" s="31">
        <v>15.6</v>
      </c>
      <c r="AE41" s="32">
        <v>5.53</v>
      </c>
      <c r="AF41" s="31">
        <v>1.03</v>
      </c>
      <c r="AG41" s="37">
        <v>77</v>
      </c>
      <c r="AH41" s="31">
        <v>9.99</v>
      </c>
      <c r="AI41" s="37">
        <v>2.12</v>
      </c>
      <c r="AJ41" s="31">
        <v>806</v>
      </c>
      <c r="AK41" s="31">
        <v>20.3</v>
      </c>
      <c r="AL41" s="31">
        <v>17.8</v>
      </c>
      <c r="AM41" s="31">
        <v>11.4</v>
      </c>
      <c r="AN41" s="31">
        <v>38.200000000000003</v>
      </c>
      <c r="AO41" s="83" t="s">
        <v>215</v>
      </c>
      <c r="AP41" s="39" t="s">
        <v>204</v>
      </c>
      <c r="AQ41" s="40">
        <f t="shared" si="2"/>
        <v>43.658005304869349</v>
      </c>
      <c r="AR41" s="41">
        <f t="shared" si="12"/>
        <v>14.378</v>
      </c>
      <c r="AS41" s="37">
        <f t="shared" si="3"/>
        <v>166.91577184586896</v>
      </c>
      <c r="AT41" s="42">
        <f t="shared" si="4"/>
        <v>3850</v>
      </c>
      <c r="AU41" s="31">
        <f t="shared" si="5"/>
        <v>2264.5</v>
      </c>
      <c r="AV41" s="31">
        <f t="shared" si="6"/>
        <v>12.86328678909341</v>
      </c>
      <c r="AW41" s="37">
        <f t="shared" si="7"/>
        <v>2065.5687520016536</v>
      </c>
      <c r="AX41" s="31">
        <f t="shared" si="8"/>
        <v>43.658005304869349</v>
      </c>
      <c r="AY41" s="42">
        <f t="shared" si="9"/>
        <v>4210.9181689664383</v>
      </c>
      <c r="AZ41" s="42">
        <f t="shared" si="13"/>
        <v>133642.29825450698</v>
      </c>
      <c r="BA41" s="42">
        <f t="shared" si="10"/>
        <v>4318.4441908222452</v>
      </c>
      <c r="BB41" s="42">
        <f t="shared" si="11"/>
        <v>499.5</v>
      </c>
      <c r="BC41" s="38">
        <f t="shared" si="14"/>
        <v>13.625</v>
      </c>
      <c r="BD41" s="38">
        <f t="shared" si="15"/>
        <v>24.77272727272727</v>
      </c>
      <c r="BE41" s="38">
        <f t="shared" si="16"/>
        <v>8.25</v>
      </c>
      <c r="BH41" s="34">
        <v>27.298999999999999</v>
      </c>
      <c r="BI41" s="43">
        <v>1.26</v>
      </c>
    </row>
    <row r="42" spans="1:61" ht="16.5" thickTop="1" thickBot="1">
      <c r="A42" s="61"/>
      <c r="B42" s="19"/>
      <c r="C42" s="16"/>
      <c r="D42" s="15"/>
      <c r="E42" s="15"/>
      <c r="F42" s="15"/>
      <c r="G42" s="16"/>
      <c r="H42" s="29"/>
      <c r="N42" s="30" t="s">
        <v>216</v>
      </c>
      <c r="O42" s="31">
        <v>12.6</v>
      </c>
      <c r="P42" s="32">
        <v>15</v>
      </c>
      <c r="Q42" s="32">
        <v>0.41099999999999998</v>
      </c>
      <c r="R42" s="32">
        <v>5.5</v>
      </c>
      <c r="S42" s="32">
        <v>0.622</v>
      </c>
      <c r="T42" s="31">
        <v>1.375</v>
      </c>
      <c r="U42" s="83" t="s">
        <v>127</v>
      </c>
      <c r="V42" s="31">
        <v>4.42</v>
      </c>
      <c r="W42" s="84" t="s">
        <v>127</v>
      </c>
      <c r="X42" s="35">
        <f t="shared" si="0"/>
        <v>33.469586374695865</v>
      </c>
      <c r="Y42" s="36">
        <f t="shared" si="1"/>
        <v>1.3155550863362526</v>
      </c>
      <c r="Z42" s="34">
        <v>4.38</v>
      </c>
      <c r="AA42" s="31">
        <v>446</v>
      </c>
      <c r="AB42" s="32">
        <v>59.4</v>
      </c>
      <c r="AC42" s="31">
        <v>5.95</v>
      </c>
      <c r="AD42" s="31">
        <v>14.3</v>
      </c>
      <c r="AE42" s="32">
        <v>5.19</v>
      </c>
      <c r="AF42" s="31">
        <v>1.06</v>
      </c>
      <c r="AG42" s="37">
        <v>69.2</v>
      </c>
      <c r="AH42" s="31">
        <v>9.08</v>
      </c>
      <c r="AI42" s="37">
        <v>1.54</v>
      </c>
      <c r="AJ42" s="31">
        <v>739</v>
      </c>
      <c r="AK42" s="31">
        <v>19.8</v>
      </c>
      <c r="AL42" s="31">
        <v>16.899999999999999</v>
      </c>
      <c r="AM42" s="31">
        <v>11.4</v>
      </c>
      <c r="AN42" s="31">
        <v>34.299999999999997</v>
      </c>
      <c r="AO42" s="83" t="s">
        <v>215</v>
      </c>
      <c r="AP42" s="39" t="s">
        <v>204</v>
      </c>
      <c r="AQ42" s="40">
        <f t="shared" si="2"/>
        <v>44.929597692389819</v>
      </c>
      <c r="AR42" s="41">
        <f t="shared" si="12"/>
        <v>14.378</v>
      </c>
      <c r="AS42" s="37">
        <f t="shared" si="3"/>
        <v>156.51817499481191</v>
      </c>
      <c r="AT42" s="42">
        <f t="shared" si="4"/>
        <v>3460</v>
      </c>
      <c r="AU42" s="31">
        <f t="shared" si="5"/>
        <v>2079</v>
      </c>
      <c r="AV42" s="31">
        <f t="shared" si="6"/>
        <v>12.375818684893517</v>
      </c>
      <c r="AW42" s="37">
        <f t="shared" si="7"/>
        <v>2057.1633386078784</v>
      </c>
      <c r="AX42" s="31">
        <f t="shared" si="8"/>
        <v>44.929597692389819</v>
      </c>
      <c r="AY42" s="42">
        <f t="shared" si="9"/>
        <v>3822.9777831418878</v>
      </c>
      <c r="AZ42" s="42">
        <f t="shared" si="13"/>
        <v>122195.50231330797</v>
      </c>
      <c r="BA42" s="42">
        <f t="shared" si="10"/>
        <v>3868.0236061340397</v>
      </c>
      <c r="BB42" s="42">
        <f t="shared" si="11"/>
        <v>454</v>
      </c>
      <c r="BC42" s="38">
        <f t="shared" si="14"/>
        <v>13.625</v>
      </c>
      <c r="BD42" s="38">
        <f t="shared" si="15"/>
        <v>33.150851581508519</v>
      </c>
      <c r="BE42" s="38">
        <f t="shared" si="16"/>
        <v>6.165</v>
      </c>
      <c r="BH42" s="34">
        <v>36.5</v>
      </c>
      <c r="BI42" s="43">
        <v>1.26</v>
      </c>
    </row>
    <row r="43" spans="1:61" ht="16.5" thickTop="1" thickBot="1">
      <c r="A43" s="178" t="s">
        <v>217</v>
      </c>
      <c r="B43" s="179"/>
      <c r="C43" s="16"/>
      <c r="D43" s="15"/>
      <c r="E43" s="117"/>
      <c r="F43" s="16"/>
      <c r="G43" s="16"/>
      <c r="H43" s="29"/>
      <c r="N43" s="30" t="s">
        <v>218</v>
      </c>
      <c r="O43" s="31">
        <v>14.6</v>
      </c>
      <c r="P43" s="32">
        <v>12</v>
      </c>
      <c r="Q43" s="32">
        <v>0.68700000000000006</v>
      </c>
      <c r="R43" s="32">
        <v>5.48</v>
      </c>
      <c r="S43" s="32">
        <v>0.65900000000000003</v>
      </c>
      <c r="T43" s="31">
        <v>1.4375</v>
      </c>
      <c r="U43" s="83" t="s">
        <v>127</v>
      </c>
      <c r="V43" s="31">
        <v>4.16</v>
      </c>
      <c r="W43" s="84" t="s">
        <v>127</v>
      </c>
      <c r="X43" s="35">
        <f t="shared" si="0"/>
        <v>15.548762736535661</v>
      </c>
      <c r="Y43" s="36">
        <f t="shared" si="1"/>
        <v>1.322201721109282</v>
      </c>
      <c r="Z43" s="34">
        <v>3.32</v>
      </c>
      <c r="AA43" s="31">
        <v>303</v>
      </c>
      <c r="AB43" s="32">
        <v>50.6</v>
      </c>
      <c r="AC43" s="31">
        <v>4.55</v>
      </c>
      <c r="AD43" s="31">
        <v>15.6</v>
      </c>
      <c r="AE43" s="32">
        <v>5.69</v>
      </c>
      <c r="AF43" s="31">
        <v>1.03</v>
      </c>
      <c r="AG43" s="37">
        <v>60.9</v>
      </c>
      <c r="AH43" s="31">
        <v>10.3</v>
      </c>
      <c r="AI43" s="37">
        <v>2.77</v>
      </c>
      <c r="AJ43" s="31">
        <v>502</v>
      </c>
      <c r="AK43" s="31">
        <v>15.5</v>
      </c>
      <c r="AL43" s="31">
        <v>14</v>
      </c>
      <c r="AM43" s="31">
        <v>8.9499999999999993</v>
      </c>
      <c r="AN43" s="31">
        <v>30.3</v>
      </c>
      <c r="AO43" s="83" t="s">
        <v>153</v>
      </c>
      <c r="AP43" s="39" t="s">
        <v>219</v>
      </c>
      <c r="AQ43" s="40">
        <f t="shared" si="2"/>
        <v>43.658005304869349</v>
      </c>
      <c r="AR43" s="41">
        <f t="shared" si="12"/>
        <v>11.340999999999999</v>
      </c>
      <c r="AS43" s="37">
        <f t="shared" si="3"/>
        <v>219.78278486183012</v>
      </c>
      <c r="AT43" s="42">
        <f t="shared" si="4"/>
        <v>3045</v>
      </c>
      <c r="AU43" s="31">
        <f t="shared" si="5"/>
        <v>1771</v>
      </c>
      <c r="AV43" s="31">
        <f t="shared" si="6"/>
        <v>7.2335079890786957</v>
      </c>
      <c r="AW43" s="37">
        <f t="shared" si="7"/>
        <v>2110.9906202323232</v>
      </c>
      <c r="AX43" s="31">
        <f t="shared" si="8"/>
        <v>43.658005304869349</v>
      </c>
      <c r="AY43" s="42">
        <f t="shared" si="9"/>
        <v>3247.957805530385</v>
      </c>
      <c r="AZ43" s="42">
        <f t="shared" si="13"/>
        <v>106816.12538375556</v>
      </c>
      <c r="BA43" s="42">
        <f t="shared" si="10"/>
        <v>3421.4099016761525</v>
      </c>
      <c r="BB43" s="42">
        <f t="shared" si="11"/>
        <v>515</v>
      </c>
      <c r="BC43" s="38">
        <f t="shared" si="14"/>
        <v>10.5625</v>
      </c>
      <c r="BD43" s="38">
        <f t="shared" si="15"/>
        <v>15.374818049490537</v>
      </c>
      <c r="BE43" s="38">
        <f t="shared" si="16"/>
        <v>8.2439999999999998</v>
      </c>
      <c r="BH43" s="34">
        <v>17.5</v>
      </c>
      <c r="BI43" s="43">
        <v>1.25</v>
      </c>
    </row>
    <row r="44" spans="1:61" ht="16.5" thickTop="1" thickBot="1">
      <c r="A44" s="118" t="s">
        <v>220</v>
      </c>
      <c r="B44" s="119">
        <f>0.6*B11*J21*J22</f>
        <v>95.940000000000012</v>
      </c>
      <c r="C44" s="69" t="s">
        <v>221</v>
      </c>
      <c r="D44" s="120">
        <f>B17/B44</f>
        <v>4.1692724619553881E-2</v>
      </c>
      <c r="E44" s="183" t="str">
        <f>IF(D44&lt;=1,"SAFE","UNSAFE")</f>
        <v>SAFE</v>
      </c>
      <c r="F44" s="184"/>
      <c r="G44" s="121"/>
      <c r="H44" s="122"/>
      <c r="N44" s="30" t="s">
        <v>222</v>
      </c>
      <c r="O44" s="31">
        <v>11.9</v>
      </c>
      <c r="P44" s="32">
        <v>12</v>
      </c>
      <c r="Q44" s="32">
        <v>0.46200000000000002</v>
      </c>
      <c r="R44" s="32">
        <v>5.25</v>
      </c>
      <c r="S44" s="32">
        <v>0.65900000000000003</v>
      </c>
      <c r="T44" s="31">
        <v>1.4375</v>
      </c>
      <c r="U44" s="83" t="s">
        <v>127</v>
      </c>
      <c r="V44" s="31">
        <v>3.98</v>
      </c>
      <c r="W44" s="84" t="s">
        <v>127</v>
      </c>
      <c r="X44" s="35">
        <f t="shared" si="0"/>
        <v>23.121212121212121</v>
      </c>
      <c r="Y44" s="36">
        <f t="shared" si="1"/>
        <v>1.3028346206562396</v>
      </c>
      <c r="Z44" s="34">
        <v>3.46</v>
      </c>
      <c r="AA44" s="31">
        <v>270</v>
      </c>
      <c r="AB44" s="32">
        <v>45.1</v>
      </c>
      <c r="AC44" s="31">
        <v>4.76</v>
      </c>
      <c r="AD44" s="31">
        <v>13.5</v>
      </c>
      <c r="AE44" s="32">
        <v>5.13</v>
      </c>
      <c r="AF44" s="31">
        <v>1.06</v>
      </c>
      <c r="AG44" s="37">
        <v>52.7</v>
      </c>
      <c r="AH44" s="31">
        <v>8.86</v>
      </c>
      <c r="AI44" s="37">
        <v>1.69</v>
      </c>
      <c r="AJ44" s="31">
        <v>434</v>
      </c>
      <c r="AK44" s="31">
        <v>14.9</v>
      </c>
      <c r="AL44" s="31">
        <v>12.9</v>
      </c>
      <c r="AM44" s="31">
        <v>8.9499999999999993</v>
      </c>
      <c r="AN44" s="31">
        <v>26.2</v>
      </c>
      <c r="AO44" s="83" t="s">
        <v>153</v>
      </c>
      <c r="AP44" s="39" t="s">
        <v>219</v>
      </c>
      <c r="AQ44" s="40">
        <f t="shared" si="2"/>
        <v>44.929597692389819</v>
      </c>
      <c r="AR44" s="41">
        <f t="shared" si="12"/>
        <v>11.340999999999999</v>
      </c>
      <c r="AS44" s="37">
        <f t="shared" si="3"/>
        <v>186.63358337602094</v>
      </c>
      <c r="AT44" s="42">
        <f t="shared" si="4"/>
        <v>2635</v>
      </c>
      <c r="AU44" s="31">
        <f t="shared" si="5"/>
        <v>1578.5</v>
      </c>
      <c r="AV44" s="31">
        <f t="shared" si="6"/>
        <v>7.4556830205097135</v>
      </c>
      <c r="AW44" s="37">
        <f t="shared" si="7"/>
        <v>2034.4908595997886</v>
      </c>
      <c r="AX44" s="31">
        <f t="shared" si="8"/>
        <v>44.929597692389819</v>
      </c>
      <c r="AY44" s="42">
        <f t="shared" si="9"/>
        <v>2853.6721835135318</v>
      </c>
      <c r="AZ44" s="42">
        <f t="shared" si="13"/>
        <v>91755.53776795046</v>
      </c>
      <c r="BA44" s="42">
        <f t="shared" si="10"/>
        <v>2947.1483996239053</v>
      </c>
      <c r="BB44" s="42">
        <f t="shared" si="11"/>
        <v>443</v>
      </c>
      <c r="BC44" s="38">
        <f t="shared" si="14"/>
        <v>10.5625</v>
      </c>
      <c r="BD44" s="38">
        <f t="shared" si="15"/>
        <v>22.862554112554111</v>
      </c>
      <c r="BE44" s="38">
        <f t="shared" si="16"/>
        <v>5.5440000000000005</v>
      </c>
      <c r="BH44" s="34">
        <v>26</v>
      </c>
      <c r="BI44" s="43">
        <v>1.24</v>
      </c>
    </row>
    <row r="45" spans="1:61" ht="15.75" thickTop="1">
      <c r="N45" s="30" t="s">
        <v>223</v>
      </c>
      <c r="O45" s="31">
        <v>10.199999999999999</v>
      </c>
      <c r="P45" s="32">
        <v>12</v>
      </c>
      <c r="Q45" s="32">
        <v>0.42799999999999999</v>
      </c>
      <c r="R45" s="32">
        <v>5.08</v>
      </c>
      <c r="S45" s="32">
        <v>0.54400000000000004</v>
      </c>
      <c r="T45" s="31">
        <v>1.1875</v>
      </c>
      <c r="U45" s="83" t="s">
        <v>127</v>
      </c>
      <c r="V45" s="31">
        <v>4.67</v>
      </c>
      <c r="W45" s="84" t="s">
        <v>127</v>
      </c>
      <c r="X45" s="35">
        <f t="shared" si="0"/>
        <v>25.495327102803735</v>
      </c>
      <c r="Y45" s="36">
        <f t="shared" si="1"/>
        <v>1.2162884034286279</v>
      </c>
      <c r="Z45" s="34">
        <v>4.34</v>
      </c>
      <c r="AA45" s="31">
        <v>228</v>
      </c>
      <c r="AB45" s="32">
        <v>38.1</v>
      </c>
      <c r="AC45" s="31">
        <v>4.72</v>
      </c>
      <c r="AD45" s="31">
        <v>9.84</v>
      </c>
      <c r="AE45" s="32">
        <v>3.88</v>
      </c>
      <c r="AF45" s="31">
        <v>0.98</v>
      </c>
      <c r="AG45" s="37">
        <v>44.6</v>
      </c>
      <c r="AH45" s="31">
        <v>6.8</v>
      </c>
      <c r="AI45" s="37">
        <v>1.05</v>
      </c>
      <c r="AJ45" s="31">
        <v>323</v>
      </c>
      <c r="AK45" s="31">
        <v>14.5</v>
      </c>
      <c r="AL45" s="31">
        <v>10</v>
      </c>
      <c r="AM45" s="31">
        <v>7.24</v>
      </c>
      <c r="AN45" s="31">
        <v>22.2</v>
      </c>
      <c r="AO45" s="83" t="s">
        <v>224</v>
      </c>
      <c r="AP45" s="39" t="s">
        <v>219</v>
      </c>
      <c r="AQ45" s="40">
        <f t="shared" si="2"/>
        <v>41.538684659001902</v>
      </c>
      <c r="AR45" s="41">
        <f t="shared" si="12"/>
        <v>11.456</v>
      </c>
      <c r="AS45" s="37">
        <f t="shared" si="3"/>
        <v>156.71691469053061</v>
      </c>
      <c r="AT45" s="42">
        <f t="shared" si="4"/>
        <v>2230</v>
      </c>
      <c r="AU45" s="31">
        <f t="shared" si="5"/>
        <v>1333.5</v>
      </c>
      <c r="AV45" s="31">
        <f t="shared" si="6"/>
        <v>7.7835889625547594</v>
      </c>
      <c r="AW45" s="37">
        <f t="shared" si="7"/>
        <v>1767.9608625138812</v>
      </c>
      <c r="AX45" s="31">
        <f t="shared" si="8"/>
        <v>41.538684659001902</v>
      </c>
      <c r="AY45" s="42">
        <f t="shared" si="9"/>
        <v>2431.8960596149955</v>
      </c>
      <c r="AZ45" s="42">
        <f t="shared" si="13"/>
        <v>67359.308861778874</v>
      </c>
      <c r="BA45" s="42">
        <f t="shared" si="10"/>
        <v>2494.8755705279991</v>
      </c>
      <c r="BB45" s="42">
        <f t="shared" si="11"/>
        <v>340</v>
      </c>
      <c r="BC45" s="38">
        <f t="shared" si="14"/>
        <v>10.8125</v>
      </c>
      <c r="BD45" s="38">
        <f t="shared" si="15"/>
        <v>25.26285046728972</v>
      </c>
      <c r="BE45" s="38">
        <f t="shared" si="16"/>
        <v>5.1360000000000001</v>
      </c>
      <c r="BH45" s="34">
        <v>28</v>
      </c>
      <c r="BI45" s="43">
        <v>1.1599999999999999</v>
      </c>
    </row>
    <row r="46" spans="1:61">
      <c r="N46" s="30" t="s">
        <v>225</v>
      </c>
      <c r="O46" s="31">
        <v>9.31</v>
      </c>
      <c r="P46" s="32">
        <v>12</v>
      </c>
      <c r="Q46" s="32">
        <v>0.35</v>
      </c>
      <c r="R46" s="32">
        <v>5</v>
      </c>
      <c r="S46" s="32">
        <v>0.54400000000000004</v>
      </c>
      <c r="T46" s="31">
        <v>1.1875</v>
      </c>
      <c r="U46" s="83" t="s">
        <v>127</v>
      </c>
      <c r="V46" s="31">
        <v>4.5999999999999996</v>
      </c>
      <c r="W46" s="84" t="s">
        <v>127</v>
      </c>
      <c r="X46" s="35">
        <f t="shared" si="0"/>
        <v>31.177142857142858</v>
      </c>
      <c r="Y46" s="36">
        <f t="shared" si="1"/>
        <v>1.2150329099969641</v>
      </c>
      <c r="Z46" s="34">
        <v>4.41</v>
      </c>
      <c r="AA46" s="31">
        <v>217</v>
      </c>
      <c r="AB46" s="32">
        <v>36.200000000000003</v>
      </c>
      <c r="AC46" s="31">
        <v>4.83</v>
      </c>
      <c r="AD46" s="31">
        <v>9.33</v>
      </c>
      <c r="AE46" s="32">
        <v>3.73</v>
      </c>
      <c r="AF46" s="31">
        <v>1</v>
      </c>
      <c r="AG46" s="37">
        <v>41.8</v>
      </c>
      <c r="AH46" s="31">
        <v>6.44</v>
      </c>
      <c r="AI46" s="37">
        <v>0.878</v>
      </c>
      <c r="AJ46" s="31">
        <v>306</v>
      </c>
      <c r="AK46" s="31">
        <v>14.3</v>
      </c>
      <c r="AL46" s="31">
        <v>9.74</v>
      </c>
      <c r="AM46" s="31">
        <v>7.24</v>
      </c>
      <c r="AN46" s="31">
        <v>20.8</v>
      </c>
      <c r="AO46" s="83" t="s">
        <v>224</v>
      </c>
      <c r="AP46" s="39" t="s">
        <v>219</v>
      </c>
      <c r="AQ46" s="40">
        <f t="shared" si="2"/>
        <v>42.386412917348885</v>
      </c>
      <c r="AR46" s="41">
        <f t="shared" si="12"/>
        <v>11.456</v>
      </c>
      <c r="AS46" s="37">
        <f t="shared" si="3"/>
        <v>150.82428170170863</v>
      </c>
      <c r="AT46" s="42">
        <f t="shared" si="4"/>
        <v>2090</v>
      </c>
      <c r="AU46" s="31">
        <f t="shared" si="5"/>
        <v>1267</v>
      </c>
      <c r="AV46" s="31">
        <f t="shared" si="6"/>
        <v>7.5895995488128154</v>
      </c>
      <c r="AW46" s="37">
        <f t="shared" si="7"/>
        <v>1761.1904819604285</v>
      </c>
      <c r="AX46" s="31">
        <f t="shared" si="8"/>
        <v>42.386412917348885</v>
      </c>
      <c r="AY46" s="42">
        <f t="shared" si="9"/>
        <v>2293.2981473918248</v>
      </c>
      <c r="AZ46" s="42">
        <f t="shared" si="13"/>
        <v>63755.09544696752</v>
      </c>
      <c r="BA46" s="42">
        <f t="shared" si="10"/>
        <v>2333.1596146620673</v>
      </c>
      <c r="BB46" s="42">
        <f t="shared" si="11"/>
        <v>322</v>
      </c>
      <c r="BC46" s="38">
        <f t="shared" si="14"/>
        <v>10.8125</v>
      </c>
      <c r="BD46" s="38">
        <f t="shared" si="15"/>
        <v>30.892857142857146</v>
      </c>
      <c r="BE46" s="38">
        <f t="shared" si="16"/>
        <v>4.1999999999999993</v>
      </c>
      <c r="BH46" s="34">
        <v>34.298999999999999</v>
      </c>
      <c r="BI46" s="43">
        <v>1.1599999999999999</v>
      </c>
    </row>
    <row r="47" spans="1:61">
      <c r="N47" s="30" t="s">
        <v>226</v>
      </c>
      <c r="O47" s="31">
        <v>10.3</v>
      </c>
      <c r="P47" s="32">
        <v>10</v>
      </c>
      <c r="Q47" s="32">
        <v>0.59399999999999997</v>
      </c>
      <c r="R47" s="32">
        <v>4.9400000000000004</v>
      </c>
      <c r="S47" s="32">
        <v>0.49099999999999999</v>
      </c>
      <c r="T47" s="31">
        <v>1.125</v>
      </c>
      <c r="U47" s="83" t="s">
        <v>127</v>
      </c>
      <c r="V47" s="31">
        <v>5.03</v>
      </c>
      <c r="W47" s="84" t="s">
        <v>127</v>
      </c>
      <c r="X47" s="35">
        <f t="shared" si="0"/>
        <v>15.181818181818183</v>
      </c>
      <c r="Y47" s="36">
        <f t="shared" si="1"/>
        <v>1.1585580705001752</v>
      </c>
      <c r="Z47" s="34">
        <v>4.12</v>
      </c>
      <c r="AA47" s="31">
        <v>147</v>
      </c>
      <c r="AB47" s="32">
        <v>29.4</v>
      </c>
      <c r="AC47" s="31">
        <v>3.78</v>
      </c>
      <c r="AD47" s="31">
        <v>8.3000000000000007</v>
      </c>
      <c r="AE47" s="32">
        <v>3.36</v>
      </c>
      <c r="AF47" s="31">
        <v>0.89900000000000002</v>
      </c>
      <c r="AG47" s="37">
        <v>35.4</v>
      </c>
      <c r="AH47" s="31">
        <v>6.19</v>
      </c>
      <c r="AI47" s="37">
        <v>1.29</v>
      </c>
      <c r="AJ47" s="31">
        <v>188</v>
      </c>
      <c r="AK47" s="31">
        <v>11.8</v>
      </c>
      <c r="AL47" s="31">
        <v>7.13</v>
      </c>
      <c r="AM47" s="31">
        <v>5.08</v>
      </c>
      <c r="AN47" s="31">
        <v>17.600000000000001</v>
      </c>
      <c r="AO47" s="83" t="s">
        <v>227</v>
      </c>
      <c r="AP47" s="30">
        <v>2.75</v>
      </c>
      <c r="AQ47" s="40">
        <f t="shared" si="2"/>
        <v>38.105385212696646</v>
      </c>
      <c r="AR47" s="41">
        <f t="shared" si="12"/>
        <v>9.5090000000000003</v>
      </c>
      <c r="AS47" s="37">
        <f t="shared" si="3"/>
        <v>189.00163134395251</v>
      </c>
      <c r="AT47" s="42">
        <f t="shared" si="4"/>
        <v>1770</v>
      </c>
      <c r="AU47" s="31">
        <f t="shared" si="5"/>
        <v>1029</v>
      </c>
      <c r="AV47" s="31">
        <f t="shared" si="6"/>
        <v>4.9106589394904319</v>
      </c>
      <c r="AW47" s="37">
        <f t="shared" si="7"/>
        <v>1630.6492165646814</v>
      </c>
      <c r="AX47" s="31">
        <f t="shared" si="8"/>
        <v>38.105385212696646</v>
      </c>
      <c r="AY47" s="42">
        <f t="shared" si="9"/>
        <v>1880.5162710814045</v>
      </c>
      <c r="AZ47" s="42">
        <f t="shared" si="13"/>
        <v>47941.086967001633</v>
      </c>
      <c r="BA47" s="42">
        <f t="shared" si="10"/>
        <v>1988.9322897504153</v>
      </c>
      <c r="BB47" s="42">
        <f t="shared" si="11"/>
        <v>309.5</v>
      </c>
      <c r="BC47" s="38">
        <f t="shared" si="14"/>
        <v>8.875</v>
      </c>
      <c r="BD47" s="38">
        <f t="shared" si="15"/>
        <v>14.941077441077441</v>
      </c>
      <c r="BE47" s="38">
        <f t="shared" si="16"/>
        <v>5.9399999999999995</v>
      </c>
      <c r="BH47" s="34">
        <v>16.798999999999999</v>
      </c>
      <c r="BI47" s="43">
        <v>1.1000000000000001</v>
      </c>
    </row>
    <row r="48" spans="1:61">
      <c r="N48" s="30" t="s">
        <v>228</v>
      </c>
      <c r="O48" s="31">
        <v>7.45</v>
      </c>
      <c r="P48" s="32">
        <v>10</v>
      </c>
      <c r="Q48" s="32">
        <v>0.311</v>
      </c>
      <c r="R48" s="32">
        <v>4.66</v>
      </c>
      <c r="S48" s="32">
        <v>0.49099999999999999</v>
      </c>
      <c r="T48" s="31">
        <v>1.125</v>
      </c>
      <c r="U48" s="83" t="s">
        <v>127</v>
      </c>
      <c r="V48" s="31">
        <v>4.75</v>
      </c>
      <c r="W48" s="84" t="s">
        <v>127</v>
      </c>
      <c r="X48" s="35">
        <f t="shared" si="0"/>
        <v>28.9967845659164</v>
      </c>
      <c r="Y48" s="36">
        <f t="shared" si="1"/>
        <v>1.1404924232451854</v>
      </c>
      <c r="Z48" s="34">
        <v>4.37</v>
      </c>
      <c r="AA48" s="31">
        <v>123</v>
      </c>
      <c r="AB48" s="32">
        <v>24.6</v>
      </c>
      <c r="AC48" s="31">
        <v>4.07</v>
      </c>
      <c r="AD48" s="31">
        <v>6.73</v>
      </c>
      <c r="AE48" s="32">
        <v>2.89</v>
      </c>
      <c r="AF48" s="31">
        <v>0.95</v>
      </c>
      <c r="AG48" s="37">
        <v>28.3</v>
      </c>
      <c r="AH48" s="31">
        <v>4.99</v>
      </c>
      <c r="AI48" s="37">
        <v>0.60299999999999998</v>
      </c>
      <c r="AJ48" s="31">
        <v>152</v>
      </c>
      <c r="AK48" s="31">
        <v>11.1</v>
      </c>
      <c r="AL48" s="31">
        <v>6.34</v>
      </c>
      <c r="AM48" s="31">
        <v>5.08</v>
      </c>
      <c r="AN48" s="31">
        <v>14</v>
      </c>
      <c r="AO48" s="83" t="s">
        <v>227</v>
      </c>
      <c r="AP48" s="30">
        <v>2.75</v>
      </c>
      <c r="AQ48" s="40">
        <f t="shared" si="2"/>
        <v>40.267092271481438</v>
      </c>
      <c r="AR48" s="41">
        <f t="shared" si="12"/>
        <v>9.5090000000000003</v>
      </c>
      <c r="AS48" s="37">
        <f t="shared" si="3"/>
        <v>150.14156611211814</v>
      </c>
      <c r="AT48" s="42">
        <f t="shared" si="4"/>
        <v>1415</v>
      </c>
      <c r="AU48" s="31">
        <f t="shared" si="5"/>
        <v>861</v>
      </c>
      <c r="AV48" s="31">
        <f t="shared" si="6"/>
        <v>5.0421174330584595</v>
      </c>
      <c r="AW48" s="37">
        <f t="shared" si="7"/>
        <v>1559.5590858700093</v>
      </c>
      <c r="AX48" s="31">
        <f t="shared" si="8"/>
        <v>40.267092271481438</v>
      </c>
      <c r="AY48" s="42">
        <f t="shared" si="9"/>
        <v>1539.3743759648983</v>
      </c>
      <c r="AZ48" s="42">
        <f t="shared" si="13"/>
        <v>38365.153512402234</v>
      </c>
      <c r="BA48" s="42">
        <f t="shared" si="10"/>
        <v>1578.6821707445749</v>
      </c>
      <c r="BB48" s="42">
        <f t="shared" si="11"/>
        <v>249.5</v>
      </c>
      <c r="BC48" s="38">
        <f t="shared" si="14"/>
        <v>8.875</v>
      </c>
      <c r="BD48" s="38">
        <f t="shared" si="15"/>
        <v>28.536977491961416</v>
      </c>
      <c r="BE48" s="38">
        <f t="shared" si="16"/>
        <v>3.11</v>
      </c>
      <c r="BH48" s="34">
        <v>32.200000000000003</v>
      </c>
      <c r="BI48" s="43">
        <v>1.0900000000000001</v>
      </c>
    </row>
    <row r="49" spans="1:61">
      <c r="N49" s="30" t="s">
        <v>229</v>
      </c>
      <c r="O49" s="31">
        <v>6.76</v>
      </c>
      <c r="P49" s="32">
        <v>8</v>
      </c>
      <c r="Q49" s="32">
        <v>0.441</v>
      </c>
      <c r="R49" s="32">
        <v>4.17</v>
      </c>
      <c r="S49" s="32">
        <v>0.42499999999999999</v>
      </c>
      <c r="T49" s="31">
        <v>1</v>
      </c>
      <c r="U49" s="83" t="s">
        <v>127</v>
      </c>
      <c r="V49" s="31">
        <v>4.91</v>
      </c>
      <c r="W49" s="84" t="s">
        <v>127</v>
      </c>
      <c r="X49" s="35">
        <f t="shared" si="0"/>
        <v>16.213151927437643</v>
      </c>
      <c r="Y49" s="36">
        <f t="shared" si="1"/>
        <v>0.99915473535643373</v>
      </c>
      <c r="Z49" s="34">
        <v>4.51</v>
      </c>
      <c r="AA49" s="31">
        <v>64.7</v>
      </c>
      <c r="AB49" s="32">
        <v>16.2</v>
      </c>
      <c r="AC49" s="31">
        <v>3.09</v>
      </c>
      <c r="AD49" s="31">
        <v>4.2699999999999996</v>
      </c>
      <c r="AE49" s="32">
        <v>2.0499999999999998</v>
      </c>
      <c r="AF49" s="31">
        <v>0.79500000000000004</v>
      </c>
      <c r="AG49" s="37">
        <v>19.2</v>
      </c>
      <c r="AH49" s="31">
        <v>3.67</v>
      </c>
      <c r="AI49" s="37">
        <v>0.55000000000000004</v>
      </c>
      <c r="AJ49" s="31">
        <v>61.3</v>
      </c>
      <c r="AK49" s="31">
        <v>7.9</v>
      </c>
      <c r="AL49" s="31">
        <v>3.5</v>
      </c>
      <c r="AM49" s="31">
        <v>3</v>
      </c>
      <c r="AN49" s="31">
        <v>9.5299999999999994</v>
      </c>
      <c r="AO49" s="83" t="s">
        <v>230</v>
      </c>
      <c r="AP49" s="39" t="s">
        <v>129</v>
      </c>
      <c r="AQ49" s="40">
        <f t="shared" si="2"/>
        <v>33.697198269292358</v>
      </c>
      <c r="AR49" s="41">
        <f t="shared" si="12"/>
        <v>7.5750000000000002</v>
      </c>
      <c r="AS49" s="37">
        <f t="shared" si="3"/>
        <v>161.05629197699864</v>
      </c>
      <c r="AT49" s="42">
        <f t="shared" si="4"/>
        <v>960</v>
      </c>
      <c r="AU49" s="31">
        <f t="shared" si="5"/>
        <v>567</v>
      </c>
      <c r="AV49" s="31">
        <f t="shared" si="6"/>
        <v>3.0857631642853018</v>
      </c>
      <c r="AW49" s="37">
        <f t="shared" si="7"/>
        <v>1224.1159315632358</v>
      </c>
      <c r="AX49" s="31">
        <f t="shared" si="8"/>
        <v>33.697198269292358</v>
      </c>
      <c r="AY49" s="42">
        <f t="shared" si="9"/>
        <v>1015.84366779615</v>
      </c>
      <c r="AZ49" s="42">
        <f t="shared" si="13"/>
        <v>19830.678091324418</v>
      </c>
      <c r="BA49" s="42">
        <f t="shared" si="10"/>
        <v>1076.1138864668194</v>
      </c>
      <c r="BB49" s="42">
        <f t="shared" si="11"/>
        <v>183.5</v>
      </c>
      <c r="BC49" s="38">
        <f t="shared" si="14"/>
        <v>7</v>
      </c>
      <c r="BD49" s="38">
        <f t="shared" si="15"/>
        <v>15.873015873015873</v>
      </c>
      <c r="BE49" s="38">
        <f t="shared" si="16"/>
        <v>3.528</v>
      </c>
      <c r="BH49" s="34">
        <v>18.100000000000001</v>
      </c>
      <c r="BI49" s="43">
        <v>0.95</v>
      </c>
    </row>
    <row r="50" spans="1:61">
      <c r="N50" s="30" t="s">
        <v>231</v>
      </c>
      <c r="O50" s="31">
        <v>5.4</v>
      </c>
      <c r="P50" s="32">
        <v>8</v>
      </c>
      <c r="Q50" s="32">
        <v>0.27100000000000002</v>
      </c>
      <c r="R50" s="32">
        <v>4</v>
      </c>
      <c r="S50" s="32">
        <v>0.42499999999999999</v>
      </c>
      <c r="T50" s="31">
        <v>1</v>
      </c>
      <c r="U50" s="83" t="s">
        <v>127</v>
      </c>
      <c r="V50" s="31">
        <v>4.71</v>
      </c>
      <c r="W50" s="84" t="s">
        <v>127</v>
      </c>
      <c r="X50" s="35">
        <f t="shared" si="0"/>
        <v>26.383763837638377</v>
      </c>
      <c r="Y50" s="36">
        <f t="shared" si="1"/>
        <v>0.98516337477598104</v>
      </c>
      <c r="Z50" s="34">
        <v>4.7</v>
      </c>
      <c r="AA50" s="31">
        <v>57.5</v>
      </c>
      <c r="AB50" s="32">
        <v>14.4</v>
      </c>
      <c r="AC50" s="31">
        <v>3.26</v>
      </c>
      <c r="AD50" s="31">
        <v>3.69</v>
      </c>
      <c r="AE50" s="32">
        <v>1.84</v>
      </c>
      <c r="AF50" s="31">
        <v>0.82699999999999996</v>
      </c>
      <c r="AG50" s="37">
        <v>16.5</v>
      </c>
      <c r="AH50" s="31">
        <v>3.18</v>
      </c>
      <c r="AI50" s="37">
        <v>0.33500000000000002</v>
      </c>
      <c r="AJ50" s="31">
        <v>52.9</v>
      </c>
      <c r="AK50" s="31">
        <v>7.58</v>
      </c>
      <c r="AL50" s="31">
        <v>3.22</v>
      </c>
      <c r="AM50" s="31">
        <v>3</v>
      </c>
      <c r="AN50" s="31">
        <v>8.17</v>
      </c>
      <c r="AO50" s="83" t="s">
        <v>230</v>
      </c>
      <c r="AP50" s="39" t="s">
        <v>129</v>
      </c>
      <c r="AQ50" s="40">
        <f t="shared" si="2"/>
        <v>35.053563482647526</v>
      </c>
      <c r="AR50" s="41">
        <f t="shared" si="12"/>
        <v>7.5750000000000002</v>
      </c>
      <c r="AS50" s="37">
        <f t="shared" si="3"/>
        <v>137.49809817323967</v>
      </c>
      <c r="AT50" s="42">
        <f t="shared" si="4"/>
        <v>825</v>
      </c>
      <c r="AU50" s="31">
        <f t="shared" si="5"/>
        <v>504</v>
      </c>
      <c r="AV50" s="31">
        <f t="shared" si="6"/>
        <v>3.1334028796118742</v>
      </c>
      <c r="AW50" s="37">
        <f t="shared" si="7"/>
        <v>1176.1995300269109</v>
      </c>
      <c r="AX50" s="31">
        <f t="shared" si="8"/>
        <v>35.053563482647526</v>
      </c>
      <c r="AY50" s="42">
        <f t="shared" si="9"/>
        <v>885.9558518352402</v>
      </c>
      <c r="AZ50" s="42">
        <f t="shared" si="13"/>
        <v>16937.273232387517</v>
      </c>
      <c r="BA50" s="42">
        <f t="shared" si="10"/>
        <v>919.84111337366164</v>
      </c>
      <c r="BB50" s="42">
        <f t="shared" si="11"/>
        <v>159</v>
      </c>
      <c r="BC50" s="38">
        <f t="shared" si="14"/>
        <v>7</v>
      </c>
      <c r="BD50" s="38">
        <f t="shared" si="15"/>
        <v>25.830258302583022</v>
      </c>
      <c r="BE50" s="38">
        <f t="shared" si="16"/>
        <v>2.1680000000000001</v>
      </c>
      <c r="BH50" s="34">
        <v>29.5</v>
      </c>
      <c r="BI50" s="43">
        <v>0.95</v>
      </c>
    </row>
    <row r="51" spans="1:61">
      <c r="N51" s="123" t="s">
        <v>232</v>
      </c>
      <c r="O51" s="80">
        <v>5.88</v>
      </c>
      <c r="P51" s="124">
        <v>7</v>
      </c>
      <c r="Q51" s="124">
        <v>0.45</v>
      </c>
      <c r="R51" s="124">
        <v>3.86</v>
      </c>
      <c r="S51" s="124">
        <v>0.39200000000000002</v>
      </c>
      <c r="T51" s="80">
        <v>0.9375</v>
      </c>
      <c r="U51" s="125" t="s">
        <v>127</v>
      </c>
      <c r="V51" s="80">
        <v>4.9000000000000004</v>
      </c>
      <c r="W51" s="125" t="s">
        <v>127</v>
      </c>
      <c r="X51" s="35">
        <f t="shared" si="0"/>
        <v>13.813333333333333</v>
      </c>
      <c r="Y51" s="36">
        <f t="shared" si="1"/>
        <v>0.93037271479216976</v>
      </c>
      <c r="Z51" s="80">
        <v>4.63</v>
      </c>
      <c r="AA51" s="80">
        <v>42.4</v>
      </c>
      <c r="AB51" s="124">
        <v>12.1</v>
      </c>
      <c r="AC51" s="80">
        <v>2.69</v>
      </c>
      <c r="AD51" s="80">
        <v>3.17</v>
      </c>
      <c r="AE51" s="124">
        <v>1.64</v>
      </c>
      <c r="AF51" s="80">
        <v>0.73399999999999999</v>
      </c>
      <c r="AG51" s="81">
        <v>14.5</v>
      </c>
      <c r="AH51" s="80">
        <v>2.96</v>
      </c>
      <c r="AI51" s="81">
        <v>0.45</v>
      </c>
      <c r="AJ51" s="80">
        <v>34.6</v>
      </c>
      <c r="AK51" s="80">
        <v>6.38</v>
      </c>
      <c r="AL51" s="80">
        <v>2.41</v>
      </c>
      <c r="AM51" s="80">
        <v>2.29</v>
      </c>
      <c r="AN51" s="80">
        <v>7.26</v>
      </c>
      <c r="AO51" s="125" t="s">
        <v>233</v>
      </c>
      <c r="AP51" s="126" t="s">
        <v>129</v>
      </c>
      <c r="AQ51" s="40">
        <f t="shared" si="2"/>
        <v>31.111627081334074</v>
      </c>
      <c r="AR51" s="41">
        <f t="shared" si="12"/>
        <v>6.6079999999999997</v>
      </c>
      <c r="AS51" s="37">
        <f t="shared" si="3"/>
        <v>165.16068790071779</v>
      </c>
      <c r="AT51" s="42">
        <f t="shared" si="4"/>
        <v>725</v>
      </c>
      <c r="AU51" s="31">
        <f t="shared" si="5"/>
        <v>423.5</v>
      </c>
      <c r="AV51" s="31">
        <f t="shared" si="6"/>
        <v>2.2491765190823521</v>
      </c>
      <c r="AW51" s="37">
        <f t="shared" si="7"/>
        <v>1079.8990718338837</v>
      </c>
      <c r="AX51" s="31">
        <f t="shared" si="8"/>
        <v>31.111627081334074</v>
      </c>
      <c r="AY51" s="42">
        <f t="shared" si="9"/>
        <v>759.88838740409847</v>
      </c>
      <c r="AZ51" s="42">
        <f t="shared" si="13"/>
        <v>13066.778769189992</v>
      </c>
      <c r="BA51" s="42">
        <f t="shared" si="10"/>
        <v>814.07973732759808</v>
      </c>
      <c r="BB51" s="42">
        <f t="shared" si="11"/>
        <v>148</v>
      </c>
      <c r="BC51" s="38">
        <f t="shared" si="14"/>
        <v>6.0625</v>
      </c>
      <c r="BD51" s="38">
        <f t="shared" si="15"/>
        <v>13.472222222222221</v>
      </c>
      <c r="BE51" s="38">
        <f t="shared" si="16"/>
        <v>3.15</v>
      </c>
      <c r="BH51" s="80">
        <v>15.6</v>
      </c>
      <c r="BI51" s="81">
        <v>0.88</v>
      </c>
    </row>
    <row r="52" spans="1:61">
      <c r="N52" s="123" t="s">
        <v>234</v>
      </c>
      <c r="O52" s="80">
        <v>4.5</v>
      </c>
      <c r="P52" s="124">
        <v>7</v>
      </c>
      <c r="Q52" s="124">
        <v>0.252</v>
      </c>
      <c r="R52" s="124">
        <v>3.6619999999999999</v>
      </c>
      <c r="S52" s="124">
        <v>0.39200000000000002</v>
      </c>
      <c r="T52" s="80">
        <v>0.9375</v>
      </c>
      <c r="U52" s="125" t="s">
        <v>127</v>
      </c>
      <c r="V52" s="80">
        <v>4.7</v>
      </c>
      <c r="W52" s="125" t="s">
        <v>127</v>
      </c>
      <c r="X52" s="35">
        <f t="shared" si="0"/>
        <v>24.666666666666668</v>
      </c>
      <c r="Y52" s="36">
        <f t="shared" si="1"/>
        <v>0.91143842359207128</v>
      </c>
      <c r="Z52" s="80">
        <v>4.88</v>
      </c>
      <c r="AA52" s="80">
        <v>36.700000000000003</v>
      </c>
      <c r="AB52" s="124">
        <v>10.5</v>
      </c>
      <c r="AC52" s="80">
        <v>2.86</v>
      </c>
      <c r="AD52" s="80">
        <v>2.64</v>
      </c>
      <c r="AE52" s="124">
        <v>1.44</v>
      </c>
      <c r="AF52" s="80">
        <v>0.76600000000000001</v>
      </c>
      <c r="AG52" s="81">
        <v>12.1</v>
      </c>
      <c r="AH52" s="80">
        <v>2.44</v>
      </c>
      <c r="AI52" s="81">
        <v>0.24</v>
      </c>
      <c r="AJ52" s="80">
        <v>28.8</v>
      </c>
      <c r="AK52" s="80">
        <v>6.05</v>
      </c>
      <c r="AL52" s="80">
        <v>2.17</v>
      </c>
      <c r="AM52" s="80">
        <v>2.29</v>
      </c>
      <c r="AN52" s="80">
        <v>6.12</v>
      </c>
      <c r="AO52" s="125" t="s">
        <v>233</v>
      </c>
      <c r="AP52" s="126" t="s">
        <v>129</v>
      </c>
      <c r="AQ52" s="40">
        <f t="shared" si="2"/>
        <v>32.467992294689246</v>
      </c>
      <c r="AR52" s="41">
        <f t="shared" si="12"/>
        <v>6.6079999999999997</v>
      </c>
      <c r="AS52" s="37">
        <f t="shared" si="3"/>
        <v>132.77545546801042</v>
      </c>
      <c r="AT52" s="42">
        <f t="shared" si="4"/>
        <v>605</v>
      </c>
      <c r="AU52" s="31">
        <f t="shared" si="5"/>
        <v>367.5</v>
      </c>
      <c r="AV52" s="31">
        <f t="shared" si="6"/>
        <v>2.3677201325451125</v>
      </c>
      <c r="AW52" s="37">
        <f t="shared" si="7"/>
        <v>1015.713689288074</v>
      </c>
      <c r="AX52" s="31">
        <f t="shared" si="8"/>
        <v>32.467992294689246</v>
      </c>
      <c r="AY52" s="42">
        <f t="shared" si="9"/>
        <v>644.93868495175161</v>
      </c>
      <c r="AZ52" s="42">
        <f t="shared" si="13"/>
        <v>10664.993737524777</v>
      </c>
      <c r="BA52" s="42">
        <f t="shared" si="10"/>
        <v>675.17060568923569</v>
      </c>
      <c r="BB52" s="42">
        <f t="shared" si="11"/>
        <v>122</v>
      </c>
      <c r="BC52" s="38">
        <f t="shared" si="14"/>
        <v>6.0625</v>
      </c>
      <c r="BD52" s="38">
        <f t="shared" si="15"/>
        <v>24.057539682539684</v>
      </c>
      <c r="BE52" s="38">
        <f t="shared" si="16"/>
        <v>1.764</v>
      </c>
      <c r="BH52" s="80">
        <v>27.798999999999999</v>
      </c>
      <c r="BI52" s="81">
        <v>0.87</v>
      </c>
    </row>
    <row r="53" spans="1:61">
      <c r="A53" s="19"/>
      <c r="B53" s="19"/>
      <c r="C53" s="19"/>
      <c r="D53" s="19"/>
      <c r="N53" s="30" t="s">
        <v>235</v>
      </c>
      <c r="O53" s="31">
        <v>5.0599999999999996</v>
      </c>
      <c r="P53" s="32">
        <v>6</v>
      </c>
      <c r="Q53" s="32">
        <v>0.46500000000000002</v>
      </c>
      <c r="R53" s="32">
        <v>3.57</v>
      </c>
      <c r="S53" s="32">
        <v>0.35899999999999999</v>
      </c>
      <c r="T53" s="31">
        <v>0.8125</v>
      </c>
      <c r="U53" s="83" t="s">
        <v>127</v>
      </c>
      <c r="V53" s="31">
        <v>4.97</v>
      </c>
      <c r="W53" s="84" t="s">
        <v>127</v>
      </c>
      <c r="X53" s="35">
        <f t="shared" si="0"/>
        <v>11.359139784946237</v>
      </c>
      <c r="Y53" s="36">
        <f t="shared" si="1"/>
        <v>0.85965674859240049</v>
      </c>
      <c r="Z53" s="34">
        <v>4.6900000000000004</v>
      </c>
      <c r="AA53" s="31">
        <v>26.2</v>
      </c>
      <c r="AB53" s="32">
        <v>8.74</v>
      </c>
      <c r="AC53" s="31">
        <v>2.2799999999999998</v>
      </c>
      <c r="AD53" s="31">
        <v>2.29</v>
      </c>
      <c r="AE53" s="32">
        <v>1.28</v>
      </c>
      <c r="AF53" s="31">
        <v>0.67300000000000004</v>
      </c>
      <c r="AG53" s="37">
        <v>10.5</v>
      </c>
      <c r="AH53" s="31">
        <v>2.35</v>
      </c>
      <c r="AI53" s="37">
        <v>0.371</v>
      </c>
      <c r="AJ53" s="31">
        <v>18.2</v>
      </c>
      <c r="AK53" s="31">
        <v>5.03</v>
      </c>
      <c r="AL53" s="31">
        <v>1.61</v>
      </c>
      <c r="AM53" s="31">
        <v>1.57</v>
      </c>
      <c r="AN53" s="31">
        <v>5.23</v>
      </c>
      <c r="AO53" s="83" t="s">
        <v>236</v>
      </c>
      <c r="AP53" s="39" t="s">
        <v>237</v>
      </c>
      <c r="AQ53" s="40">
        <f t="shared" si="2"/>
        <v>28.526055893375798</v>
      </c>
      <c r="AR53" s="41">
        <f t="shared" si="12"/>
        <v>5.641</v>
      </c>
      <c r="AS53" s="37">
        <f t="shared" si="3"/>
        <v>173.914429253094</v>
      </c>
      <c r="AT53" s="42">
        <f t="shared" si="4"/>
        <v>525</v>
      </c>
      <c r="AU53" s="31">
        <f t="shared" si="5"/>
        <v>305.90000000000003</v>
      </c>
      <c r="AV53" s="31">
        <f t="shared" si="6"/>
        <v>1.506998083388039</v>
      </c>
      <c r="AW53" s="37">
        <f t="shared" si="7"/>
        <v>950.21193032905217</v>
      </c>
      <c r="AX53" s="31">
        <f t="shared" si="8"/>
        <v>28.526055893375798</v>
      </c>
      <c r="AY53" s="42">
        <f t="shared" si="9"/>
        <v>544.479541457084</v>
      </c>
      <c r="AZ53" s="42">
        <f t="shared" si="13"/>
        <v>8304.8522710759153</v>
      </c>
      <c r="BA53" s="42">
        <f t="shared" si="10"/>
        <v>589.73423034320649</v>
      </c>
      <c r="BB53" s="42">
        <f t="shared" si="11"/>
        <v>117.5</v>
      </c>
      <c r="BC53" s="38">
        <f t="shared" si="14"/>
        <v>5.1875</v>
      </c>
      <c r="BD53" s="38">
        <f t="shared" si="15"/>
        <v>11.155913978494622</v>
      </c>
      <c r="BE53" s="38">
        <f t="shared" si="16"/>
        <v>2.79</v>
      </c>
      <c r="BH53" s="34">
        <v>12.9</v>
      </c>
      <c r="BI53" s="43">
        <v>0.81</v>
      </c>
    </row>
    <row r="54" spans="1:61">
      <c r="A54" s="19"/>
      <c r="B54" s="19"/>
      <c r="C54" s="19"/>
      <c r="D54" s="19"/>
      <c r="N54" s="30" t="s">
        <v>238</v>
      </c>
      <c r="O54" s="31">
        <v>3.66</v>
      </c>
      <c r="P54" s="32">
        <v>6</v>
      </c>
      <c r="Q54" s="32">
        <v>0.23200000000000001</v>
      </c>
      <c r="R54" s="32">
        <v>3.33</v>
      </c>
      <c r="S54" s="32">
        <v>0.35899999999999999</v>
      </c>
      <c r="T54" s="31">
        <v>0.8125</v>
      </c>
      <c r="U54" s="83" t="s">
        <v>127</v>
      </c>
      <c r="V54" s="31">
        <v>4.6399999999999997</v>
      </c>
      <c r="W54" s="84" t="s">
        <v>127</v>
      </c>
      <c r="X54" s="35">
        <f t="shared" si="0"/>
        <v>22.767241379310345</v>
      </c>
      <c r="Y54" s="36">
        <f t="shared" si="1"/>
        <v>0.83167045716365395</v>
      </c>
      <c r="Z54" s="34">
        <v>5.0199999999999996</v>
      </c>
      <c r="AA54" s="31">
        <v>22</v>
      </c>
      <c r="AB54" s="32">
        <v>7.34</v>
      </c>
      <c r="AC54" s="31">
        <v>2.4500000000000002</v>
      </c>
      <c r="AD54" s="31">
        <v>1.8</v>
      </c>
      <c r="AE54" s="32">
        <v>1.08</v>
      </c>
      <c r="AF54" s="31">
        <v>0.70199999999999996</v>
      </c>
      <c r="AG54" s="37">
        <v>8.4499999999999993</v>
      </c>
      <c r="AH54" s="31">
        <v>1.86</v>
      </c>
      <c r="AI54" s="37">
        <v>0.16700000000000001</v>
      </c>
      <c r="AJ54" s="31">
        <v>14.3</v>
      </c>
      <c r="AK54" s="31">
        <v>4.7</v>
      </c>
      <c r="AL54" s="31">
        <v>1.41</v>
      </c>
      <c r="AM54" s="31">
        <v>1.57</v>
      </c>
      <c r="AN54" s="31">
        <v>4.18</v>
      </c>
      <c r="AO54" s="83" t="s">
        <v>236</v>
      </c>
      <c r="AP54" s="39" t="s">
        <v>127</v>
      </c>
      <c r="AQ54" s="40">
        <f t="shared" si="2"/>
        <v>29.755261867978913</v>
      </c>
      <c r="AR54" s="41">
        <f t="shared" si="12"/>
        <v>5.641</v>
      </c>
      <c r="AS54" s="37">
        <f t="shared" si="3"/>
        <v>128.49123760476965</v>
      </c>
      <c r="AT54" s="42">
        <f t="shared" si="4"/>
        <v>422.49999999999994</v>
      </c>
      <c r="AU54" s="31">
        <f t="shared" si="5"/>
        <v>256.89999999999998</v>
      </c>
      <c r="AV54" s="31">
        <f t="shared" si="6"/>
        <v>1.6772002176942535</v>
      </c>
      <c r="AW54" s="37">
        <f t="shared" si="7"/>
        <v>858.01903393710847</v>
      </c>
      <c r="AX54" s="31">
        <f t="shared" si="8"/>
        <v>29.755261867978913</v>
      </c>
      <c r="AY54" s="42">
        <f t="shared" si="9"/>
        <v>446.24120828649336</v>
      </c>
      <c r="AZ54" s="42">
        <f t="shared" si="13"/>
        <v>6297.8597090983758</v>
      </c>
      <c r="BA54" s="42">
        <f t="shared" si="10"/>
        <v>471.42737811426275</v>
      </c>
      <c r="BB54" s="42">
        <f t="shared" si="11"/>
        <v>93</v>
      </c>
      <c r="BC54" s="38">
        <f t="shared" si="14"/>
        <v>5.1875</v>
      </c>
      <c r="BD54" s="38">
        <f t="shared" si="15"/>
        <v>22.359913793103448</v>
      </c>
      <c r="BE54" s="38">
        <f t="shared" si="16"/>
        <v>1.3920000000000001</v>
      </c>
      <c r="BH54" s="34">
        <v>25.9</v>
      </c>
      <c r="BI54" s="43">
        <v>0.79</v>
      </c>
    </row>
    <row r="55" spans="1:61">
      <c r="A55" s="19"/>
      <c r="B55" s="19"/>
      <c r="C55" s="19"/>
      <c r="D55" s="19"/>
      <c r="N55" s="123" t="s">
        <v>239</v>
      </c>
      <c r="O55" s="80">
        <v>4.34</v>
      </c>
      <c r="P55" s="124">
        <v>5</v>
      </c>
      <c r="Q55" s="124">
        <v>0.49399999999999999</v>
      </c>
      <c r="R55" s="124">
        <v>3.2839999999999998</v>
      </c>
      <c r="S55" s="124">
        <v>0.32600000000000001</v>
      </c>
      <c r="T55" s="80">
        <v>0.8125</v>
      </c>
      <c r="U55" s="125" t="s">
        <v>127</v>
      </c>
      <c r="V55" s="80">
        <v>5</v>
      </c>
      <c r="W55" s="125" t="s">
        <v>127</v>
      </c>
      <c r="X55" s="35">
        <f t="shared" si="0"/>
        <v>8.8016194331983808</v>
      </c>
      <c r="Y55" s="36">
        <f t="shared" si="1"/>
        <v>0.80053245827309738</v>
      </c>
      <c r="Z55" s="80">
        <v>4.66</v>
      </c>
      <c r="AA55" s="80">
        <v>15.2</v>
      </c>
      <c r="AB55" s="124">
        <v>6.09</v>
      </c>
      <c r="AC55" s="80">
        <v>1.87</v>
      </c>
      <c r="AD55" s="80">
        <v>1.67</v>
      </c>
      <c r="AE55" s="124">
        <v>1.01</v>
      </c>
      <c r="AF55" s="80">
        <v>0.62</v>
      </c>
      <c r="AG55" s="81">
        <v>7.42</v>
      </c>
      <c r="AH55" s="80">
        <v>1.88</v>
      </c>
      <c r="AI55" s="81">
        <v>0.32</v>
      </c>
      <c r="AJ55" s="80">
        <v>9.1199999999999992</v>
      </c>
      <c r="AK55" s="80">
        <v>3.84</v>
      </c>
      <c r="AL55" s="80">
        <v>1.03</v>
      </c>
      <c r="AM55" s="80">
        <v>1.1100000000000001</v>
      </c>
      <c r="AN55" s="80">
        <v>3.72</v>
      </c>
      <c r="AO55" s="125" t="s">
        <v>179</v>
      </c>
      <c r="AP55" s="126" t="s">
        <v>127</v>
      </c>
      <c r="AQ55" s="40">
        <f t="shared" si="2"/>
        <v>26.279576008756305</v>
      </c>
      <c r="AR55" s="41">
        <f t="shared" si="12"/>
        <v>4.6740000000000004</v>
      </c>
      <c r="AS55" s="37">
        <f t="shared" si="3"/>
        <v>195.7904723057618</v>
      </c>
      <c r="AT55" s="42">
        <f t="shared" si="4"/>
        <v>371</v>
      </c>
      <c r="AU55" s="31">
        <f t="shared" si="5"/>
        <v>213.15</v>
      </c>
      <c r="AV55" s="31">
        <f t="shared" si="6"/>
        <v>0.93120857389265366</v>
      </c>
      <c r="AW55" s="37">
        <f t="shared" si="7"/>
        <v>870.90193684714643</v>
      </c>
      <c r="AX55" s="31">
        <f t="shared" si="8"/>
        <v>26.279576008756305</v>
      </c>
      <c r="AY55" s="42">
        <f t="shared" si="9"/>
        <v>380.94491274489218</v>
      </c>
      <c r="AZ55" s="42">
        <f t="shared" si="13"/>
        <v>5303.792795399122</v>
      </c>
      <c r="BA55" s="42">
        <f t="shared" si="10"/>
        <v>417.6376004549299</v>
      </c>
      <c r="BB55" s="42">
        <f t="shared" si="11"/>
        <v>94</v>
      </c>
      <c r="BC55" s="38">
        <f t="shared" si="14"/>
        <v>4.1875</v>
      </c>
      <c r="BD55" s="38">
        <f t="shared" si="15"/>
        <v>8.4767206477732788</v>
      </c>
      <c r="BE55" s="38">
        <f t="shared" si="16"/>
        <v>2.4699999999999998</v>
      </c>
      <c r="BH55" s="80">
        <v>10.1</v>
      </c>
      <c r="BI55" s="81">
        <v>0.74</v>
      </c>
    </row>
    <row r="56" spans="1:61">
      <c r="A56" s="19"/>
      <c r="B56" s="19"/>
      <c r="C56" s="19"/>
      <c r="D56" s="19"/>
      <c r="N56" s="30" t="s">
        <v>240</v>
      </c>
      <c r="O56" s="31">
        <v>2.93</v>
      </c>
      <c r="P56" s="32">
        <v>5</v>
      </c>
      <c r="Q56" s="32">
        <v>0.214</v>
      </c>
      <c r="R56" s="32">
        <v>3</v>
      </c>
      <c r="S56" s="32">
        <v>0.32600000000000001</v>
      </c>
      <c r="T56" s="31">
        <v>0.75</v>
      </c>
      <c r="U56" s="83" t="s">
        <v>127</v>
      </c>
      <c r="V56" s="31">
        <v>4.6100000000000003</v>
      </c>
      <c r="W56" s="84" t="s">
        <v>127</v>
      </c>
      <c r="X56" s="35">
        <f t="shared" si="0"/>
        <v>20.317757009345794</v>
      </c>
      <c r="Y56" s="36">
        <f t="shared" si="1"/>
        <v>0.75336388475765337</v>
      </c>
      <c r="Z56" s="34">
        <v>5.0999999999999996</v>
      </c>
      <c r="AA56" s="31">
        <v>12.3</v>
      </c>
      <c r="AB56" s="32">
        <v>4.9000000000000004</v>
      </c>
      <c r="AC56" s="31">
        <v>2.0499999999999998</v>
      </c>
      <c r="AD56" s="31">
        <v>1.19</v>
      </c>
      <c r="AE56" s="32">
        <v>0.79500000000000004</v>
      </c>
      <c r="AF56" s="31">
        <v>0.63800000000000001</v>
      </c>
      <c r="AG56" s="37">
        <v>5.66</v>
      </c>
      <c r="AH56" s="31">
        <v>1.37</v>
      </c>
      <c r="AI56" s="37">
        <v>0.114</v>
      </c>
      <c r="AJ56" s="31">
        <v>6.5</v>
      </c>
      <c r="AK56" s="31">
        <v>3.51</v>
      </c>
      <c r="AL56" s="31">
        <v>0.85899999999999999</v>
      </c>
      <c r="AM56" s="31">
        <v>1.06</v>
      </c>
      <c r="AN56" s="31">
        <v>2.79</v>
      </c>
      <c r="AO56" s="83" t="s">
        <v>204</v>
      </c>
      <c r="AP56" s="39" t="s">
        <v>127</v>
      </c>
      <c r="AQ56" s="40">
        <f t="shared" si="2"/>
        <v>27.04253144126859</v>
      </c>
      <c r="AR56" s="41">
        <f t="shared" si="12"/>
        <v>4.6740000000000004</v>
      </c>
      <c r="AS56" s="37">
        <f t="shared" si="3"/>
        <v>126.85836464655203</v>
      </c>
      <c r="AT56" s="42">
        <f t="shared" si="4"/>
        <v>283</v>
      </c>
      <c r="AU56" s="31">
        <f t="shared" si="5"/>
        <v>171.5</v>
      </c>
      <c r="AV56" s="31">
        <f t="shared" si="6"/>
        <v>1.1170572485297663</v>
      </c>
      <c r="AW56" s="37">
        <f t="shared" si="7"/>
        <v>721.5156716320347</v>
      </c>
      <c r="AX56" s="31">
        <f t="shared" si="8"/>
        <v>27.04253144126859</v>
      </c>
      <c r="AY56" s="42">
        <f t="shared" si="9"/>
        <v>295.78196268799883</v>
      </c>
      <c r="AZ56" s="42">
        <f t="shared" si="13"/>
        <v>3535.4267909969703</v>
      </c>
      <c r="BA56" s="42">
        <f t="shared" si="10"/>
        <v>315.94325277620959</v>
      </c>
      <c r="BB56" s="42">
        <f t="shared" si="11"/>
        <v>68.5</v>
      </c>
      <c r="BC56" s="38">
        <f t="shared" si="14"/>
        <v>4.25</v>
      </c>
      <c r="BD56" s="38">
        <f t="shared" si="15"/>
        <v>19.859813084112151</v>
      </c>
      <c r="BE56" s="38">
        <f t="shared" si="16"/>
        <v>1.07</v>
      </c>
      <c r="BH56" s="34">
        <v>23.4</v>
      </c>
      <c r="BI56" s="43">
        <v>0.72</v>
      </c>
    </row>
    <row r="57" spans="1:61">
      <c r="A57" s="19"/>
      <c r="B57" s="19"/>
      <c r="C57" s="19"/>
      <c r="D57" s="19"/>
      <c r="N57" s="30" t="s">
        <v>241</v>
      </c>
      <c r="O57" s="31">
        <v>2.79</v>
      </c>
      <c r="P57" s="32">
        <v>4</v>
      </c>
      <c r="Q57" s="32">
        <v>0.32600000000000001</v>
      </c>
      <c r="R57" s="32">
        <v>2.8</v>
      </c>
      <c r="S57" s="32">
        <v>0.29299999999999998</v>
      </c>
      <c r="T57" s="31">
        <v>0.75</v>
      </c>
      <c r="U57" s="83" t="s">
        <v>127</v>
      </c>
      <c r="V57" s="31">
        <v>4.7699999999999996</v>
      </c>
      <c r="W57" s="84" t="s">
        <v>127</v>
      </c>
      <c r="X57" s="35">
        <f t="shared" si="0"/>
        <v>10.47239263803681</v>
      </c>
      <c r="Y57" s="36">
        <f t="shared" si="1"/>
        <v>0.69742860337437673</v>
      </c>
      <c r="Z57" s="34">
        <v>4.88</v>
      </c>
      <c r="AA57" s="31">
        <v>6.76</v>
      </c>
      <c r="AB57" s="32">
        <v>3.38</v>
      </c>
      <c r="AC57" s="31">
        <v>1.56</v>
      </c>
      <c r="AD57" s="31">
        <v>0.88700000000000001</v>
      </c>
      <c r="AE57" s="32">
        <v>0.63500000000000001</v>
      </c>
      <c r="AF57" s="31">
        <v>0.56399999999999995</v>
      </c>
      <c r="AG57" s="37">
        <v>4.04</v>
      </c>
      <c r="AH57" s="31">
        <v>1.1299999999999999</v>
      </c>
      <c r="AI57" s="37">
        <v>0.12</v>
      </c>
      <c r="AJ57" s="31">
        <v>3.05</v>
      </c>
      <c r="AK57" s="31">
        <v>2.59</v>
      </c>
      <c r="AL57" s="31">
        <v>0.53100000000000003</v>
      </c>
      <c r="AM57" s="31">
        <v>0.67100000000000004</v>
      </c>
      <c r="AN57" s="31">
        <v>1.99</v>
      </c>
      <c r="AO57" s="83" t="s">
        <v>242</v>
      </c>
      <c r="AP57" s="39" t="s">
        <v>127</v>
      </c>
      <c r="AQ57" s="40">
        <f t="shared" si="2"/>
        <v>23.905936885384765</v>
      </c>
      <c r="AR57" s="41">
        <f t="shared" si="12"/>
        <v>3.7069999999999999</v>
      </c>
      <c r="AS57" s="37">
        <f t="shared" si="3"/>
        <v>157.98158693906004</v>
      </c>
      <c r="AT57" s="42">
        <f t="shared" si="4"/>
        <v>202</v>
      </c>
      <c r="AU57" s="31">
        <f t="shared" si="5"/>
        <v>118.3</v>
      </c>
      <c r="AV57" s="31">
        <f t="shared" si="6"/>
        <v>0.62427442989455506</v>
      </c>
      <c r="AW57" s="37">
        <f t="shared" si="7"/>
        <v>671.04575311322151</v>
      </c>
      <c r="AX57" s="31">
        <f t="shared" si="8"/>
        <v>23.905936885384765</v>
      </c>
      <c r="AY57" s="42">
        <f t="shared" si="9"/>
        <v>207.18518401386373</v>
      </c>
      <c r="AZ57" s="42">
        <f t="shared" si="13"/>
        <v>2268.1346455226885</v>
      </c>
      <c r="BA57" s="42">
        <f t="shared" si="10"/>
        <v>226.72959872079591</v>
      </c>
      <c r="BB57" s="42">
        <f t="shared" si="11"/>
        <v>56.499999999999993</v>
      </c>
      <c r="BC57" s="38">
        <f t="shared" si="14"/>
        <v>3.25</v>
      </c>
      <c r="BD57" s="38">
        <f t="shared" si="15"/>
        <v>9.969325153374232</v>
      </c>
      <c r="BE57" s="38">
        <f t="shared" si="16"/>
        <v>1.304</v>
      </c>
      <c r="BH57" s="34">
        <v>12.3</v>
      </c>
      <c r="BI57" s="43">
        <v>0.65</v>
      </c>
    </row>
    <row r="58" spans="1:61">
      <c r="A58" s="19"/>
      <c r="B58" s="19"/>
      <c r="C58" s="19"/>
      <c r="D58" s="19"/>
      <c r="N58" s="30" t="s">
        <v>243</v>
      </c>
      <c r="O58" s="31">
        <v>2.2599999999999998</v>
      </c>
      <c r="P58" s="32">
        <v>4</v>
      </c>
      <c r="Q58" s="32">
        <v>0.193</v>
      </c>
      <c r="R58" s="32">
        <v>2.66</v>
      </c>
      <c r="S58" s="32">
        <v>0.29299999999999998</v>
      </c>
      <c r="T58" s="31">
        <v>0.75</v>
      </c>
      <c r="U58" s="83" t="s">
        <v>127</v>
      </c>
      <c r="V58" s="31">
        <v>4.54</v>
      </c>
      <c r="W58" s="84" t="s">
        <v>127</v>
      </c>
      <c r="X58" s="35">
        <f t="shared" si="0"/>
        <v>17.689119170984455</v>
      </c>
      <c r="Y58" s="36">
        <f t="shared" si="1"/>
        <v>0.67643454699596539</v>
      </c>
      <c r="Z58" s="34">
        <v>5.13</v>
      </c>
      <c r="AA58" s="31">
        <v>6.05</v>
      </c>
      <c r="AB58" s="32">
        <v>3.03</v>
      </c>
      <c r="AC58" s="31">
        <v>1.64</v>
      </c>
      <c r="AD58" s="31">
        <v>0.748</v>
      </c>
      <c r="AE58" s="32">
        <v>0.56200000000000006</v>
      </c>
      <c r="AF58" s="31">
        <v>0.57599999999999996</v>
      </c>
      <c r="AG58" s="37">
        <v>3.5</v>
      </c>
      <c r="AH58" s="31">
        <v>0.97</v>
      </c>
      <c r="AI58" s="37">
        <v>7.3200000000000001E-2</v>
      </c>
      <c r="AJ58" s="31">
        <v>2.57</v>
      </c>
      <c r="AK58" s="31">
        <v>2.4700000000000002</v>
      </c>
      <c r="AL58" s="31">
        <v>0.48099999999999998</v>
      </c>
      <c r="AM58" s="31">
        <v>0.67100000000000004</v>
      </c>
      <c r="AN58" s="31">
        <v>1.73</v>
      </c>
      <c r="AO58" s="83" t="s">
        <v>242</v>
      </c>
      <c r="AP58" s="39" t="s">
        <v>127</v>
      </c>
      <c r="AQ58" s="40">
        <f t="shared" si="2"/>
        <v>24.414573840392954</v>
      </c>
      <c r="AR58" s="41">
        <f t="shared" si="12"/>
        <v>3.7069999999999999</v>
      </c>
      <c r="AS58" s="37">
        <f t="shared" si="3"/>
        <v>128.15708403451856</v>
      </c>
      <c r="AT58" s="42">
        <f t="shared" si="4"/>
        <v>175</v>
      </c>
      <c r="AU58" s="31">
        <f t="shared" si="5"/>
        <v>106.05</v>
      </c>
      <c r="AV58" s="31">
        <f t="shared" si="6"/>
        <v>0.66462629322327971</v>
      </c>
      <c r="AW58" s="37">
        <f t="shared" si="7"/>
        <v>607.03339944999357</v>
      </c>
      <c r="AX58" s="31">
        <f t="shared" si="8"/>
        <v>24.414573840392954</v>
      </c>
      <c r="AY58" s="42">
        <f t="shared" si="9"/>
        <v>180.85839753788326</v>
      </c>
      <c r="AZ58" s="42">
        <f t="shared" si="13"/>
        <v>1839.3112003334804</v>
      </c>
      <c r="BA58" s="42">
        <f t="shared" si="10"/>
        <v>195.37163478851704</v>
      </c>
      <c r="BB58" s="42">
        <f t="shared" si="11"/>
        <v>48.5</v>
      </c>
      <c r="BC58" s="38">
        <f t="shared" si="14"/>
        <v>3.25</v>
      </c>
      <c r="BD58" s="38">
        <f t="shared" si="15"/>
        <v>16.839378238341968</v>
      </c>
      <c r="BE58" s="38">
        <f t="shared" si="16"/>
        <v>0.77200000000000002</v>
      </c>
      <c r="BH58" s="34">
        <v>20.7</v>
      </c>
      <c r="BI58" s="43">
        <v>0.64</v>
      </c>
    </row>
    <row r="59" spans="1:61">
      <c r="A59" s="19"/>
      <c r="B59" s="19"/>
      <c r="C59" s="19"/>
      <c r="D59" s="19"/>
      <c r="N59" s="30" t="s">
        <v>244</v>
      </c>
      <c r="O59" s="31">
        <v>2.2000000000000002</v>
      </c>
      <c r="P59" s="32">
        <v>3</v>
      </c>
      <c r="Q59" s="32">
        <v>0.34899999999999998</v>
      </c>
      <c r="R59" s="32">
        <v>2.5099999999999998</v>
      </c>
      <c r="S59" s="32">
        <v>0.26</v>
      </c>
      <c r="T59" s="31">
        <v>0.625</v>
      </c>
      <c r="U59" s="83" t="s">
        <v>127</v>
      </c>
      <c r="V59" s="31">
        <v>4.82</v>
      </c>
      <c r="W59" s="84" t="s">
        <v>127</v>
      </c>
      <c r="X59" s="35">
        <f t="shared" si="0"/>
        <v>7.1060171919770774</v>
      </c>
      <c r="Y59" s="36">
        <f t="shared" si="1"/>
        <v>0.63888595048878538</v>
      </c>
      <c r="Z59" s="34">
        <v>4.5999999999999996</v>
      </c>
      <c r="AA59" s="31">
        <v>2.91</v>
      </c>
      <c r="AB59" s="32">
        <v>1.94</v>
      </c>
      <c r="AC59" s="31">
        <v>1.1499999999999999</v>
      </c>
      <c r="AD59" s="31">
        <v>0.57799999999999996</v>
      </c>
      <c r="AE59" s="32">
        <v>0.46100000000000002</v>
      </c>
      <c r="AF59" s="31">
        <v>0.51300000000000001</v>
      </c>
      <c r="AG59" s="37">
        <v>2.35</v>
      </c>
      <c r="AH59" s="31">
        <v>0.82099999999999995</v>
      </c>
      <c r="AI59" s="37">
        <v>8.9599999999999999E-2</v>
      </c>
      <c r="AJ59" s="31">
        <v>1.08</v>
      </c>
      <c r="AK59" s="31">
        <v>1.72</v>
      </c>
      <c r="AL59" s="31">
        <v>0.28000000000000003</v>
      </c>
      <c r="AM59" s="31">
        <v>0.38500000000000001</v>
      </c>
      <c r="AN59" s="31">
        <v>1.1599999999999999</v>
      </c>
      <c r="AO59" s="83" t="s">
        <v>245</v>
      </c>
      <c r="AP59" s="39" t="s">
        <v>127</v>
      </c>
      <c r="AQ59" s="40">
        <f t="shared" si="2"/>
        <v>21.744229826599977</v>
      </c>
      <c r="AR59" s="41">
        <f t="shared" si="12"/>
        <v>2.74</v>
      </c>
      <c r="AS59" s="37">
        <f t="shared" si="3"/>
        <v>190.34353025861475</v>
      </c>
      <c r="AT59" s="42">
        <f t="shared" si="4"/>
        <v>117.5</v>
      </c>
      <c r="AU59" s="31">
        <f t="shared" si="5"/>
        <v>67.899999999999991</v>
      </c>
      <c r="AV59" s="31">
        <f t="shared" si="6"/>
        <v>0.29418864653000437</v>
      </c>
      <c r="AW59" s="37">
        <f t="shared" si="7"/>
        <v>641.6944635050121</v>
      </c>
      <c r="AX59" s="31">
        <f t="shared" si="8"/>
        <v>21.744229826599977</v>
      </c>
      <c r="AY59" s="42">
        <f t="shared" si="9"/>
        <v>119.30756265665673</v>
      </c>
      <c r="AZ59" s="42">
        <f t="shared" si="13"/>
        <v>1244.8872591997235</v>
      </c>
      <c r="BA59" s="42">
        <f t="shared" si="10"/>
        <v>132.15457701973091</v>
      </c>
      <c r="BB59" s="42">
        <f t="shared" si="11"/>
        <v>41.05</v>
      </c>
      <c r="BC59" s="38">
        <f t="shared" si="14"/>
        <v>2.375</v>
      </c>
      <c r="BD59" s="38">
        <f t="shared" si="15"/>
        <v>6.8051575931232096</v>
      </c>
      <c r="BE59" s="38">
        <f t="shared" si="16"/>
        <v>1.0469999999999999</v>
      </c>
      <c r="BH59" s="34">
        <v>8.6</v>
      </c>
      <c r="BI59" s="43">
        <v>0.59</v>
      </c>
    </row>
    <row r="60" spans="1:61">
      <c r="A60" s="19"/>
      <c r="B60" s="19"/>
      <c r="C60" s="19"/>
      <c r="D60" s="19"/>
      <c r="N60" s="30" t="s">
        <v>246</v>
      </c>
      <c r="O60" s="31">
        <v>1.66</v>
      </c>
      <c r="P60" s="32">
        <v>3</v>
      </c>
      <c r="Q60" s="32">
        <v>0.17</v>
      </c>
      <c r="R60" s="32">
        <v>2.33</v>
      </c>
      <c r="S60" s="32">
        <v>0.26</v>
      </c>
      <c r="T60" s="31">
        <v>0.625</v>
      </c>
      <c r="U60" s="83" t="s">
        <v>127</v>
      </c>
      <c r="V60" s="31">
        <v>4.4800000000000004</v>
      </c>
      <c r="W60" s="84" t="s">
        <v>127</v>
      </c>
      <c r="X60" s="35">
        <f t="shared" si="0"/>
        <v>14.588235294117647</v>
      </c>
      <c r="Y60" s="36">
        <f t="shared" si="1"/>
        <v>0.60555808871023709</v>
      </c>
      <c r="Z60" s="34">
        <v>4.95</v>
      </c>
      <c r="AA60" s="31">
        <v>2.5</v>
      </c>
      <c r="AB60" s="32">
        <v>1.67</v>
      </c>
      <c r="AC60" s="31">
        <v>1.23</v>
      </c>
      <c r="AD60" s="31">
        <v>0.44700000000000001</v>
      </c>
      <c r="AE60" s="32">
        <v>0.38300000000000001</v>
      </c>
      <c r="AF60" s="31">
        <v>0.51800000000000002</v>
      </c>
      <c r="AG60" s="37">
        <v>1.94</v>
      </c>
      <c r="AH60" s="31">
        <v>0.65600000000000003</v>
      </c>
      <c r="AI60" s="37">
        <v>4.3299999999999998E-2</v>
      </c>
      <c r="AJ60" s="31">
        <v>0.83899999999999997</v>
      </c>
      <c r="AK60" s="31">
        <v>1.6</v>
      </c>
      <c r="AL60" s="31">
        <v>0.24199999999999999</v>
      </c>
      <c r="AM60" s="31">
        <v>0.38500000000000001</v>
      </c>
      <c r="AN60" s="31">
        <v>0.96099999999999997</v>
      </c>
      <c r="AO60" s="83" t="s">
        <v>245</v>
      </c>
      <c r="AP60" s="39" t="s">
        <v>127</v>
      </c>
      <c r="AQ60" s="40">
        <f t="shared" si="2"/>
        <v>21.956161891186721</v>
      </c>
      <c r="AR60" s="41">
        <f t="shared" si="12"/>
        <v>2.74</v>
      </c>
      <c r="AS60" s="37">
        <f t="shared" si="3"/>
        <v>136.39020942099856</v>
      </c>
      <c r="AT60" s="42">
        <f t="shared" si="4"/>
        <v>97</v>
      </c>
      <c r="AU60" s="31">
        <f t="shared" si="5"/>
        <v>58.449999999999996</v>
      </c>
      <c r="AV60" s="31">
        <f t="shared" si="6"/>
        <v>0.33687526424298797</v>
      </c>
      <c r="AW60" s="37">
        <f t="shared" si="7"/>
        <v>526.84070134001843</v>
      </c>
      <c r="AX60" s="31">
        <f t="shared" si="8"/>
        <v>21.956161891186721</v>
      </c>
      <c r="AY60" s="42">
        <f t="shared" si="9"/>
        <v>99.141233716664743</v>
      </c>
      <c r="AZ60" s="42">
        <f t="shared" si="13"/>
        <v>879.82397123783073</v>
      </c>
      <c r="BA60" s="42">
        <f t="shared" si="10"/>
        <v>108.38979726029488</v>
      </c>
      <c r="BB60" s="42">
        <f t="shared" si="11"/>
        <v>32.800000000000004</v>
      </c>
      <c r="BC60" s="38">
        <f t="shared" si="14"/>
        <v>2.375</v>
      </c>
      <c r="BD60" s="38">
        <f t="shared" si="15"/>
        <v>13.970588235294116</v>
      </c>
      <c r="BE60" s="38">
        <f t="shared" si="16"/>
        <v>0.51</v>
      </c>
      <c r="BH60" s="34">
        <v>17.600000000000001</v>
      </c>
      <c r="BI60" s="43">
        <v>0.56999999999999995</v>
      </c>
    </row>
    <row r="61" spans="1:61">
      <c r="A61" s="19"/>
      <c r="B61" s="19"/>
      <c r="C61" s="19"/>
      <c r="D61" s="19"/>
      <c r="N61" s="127" t="s">
        <v>247</v>
      </c>
      <c r="O61" s="40">
        <v>98.3</v>
      </c>
      <c r="P61" s="128">
        <v>44</v>
      </c>
      <c r="Q61" s="128">
        <v>1.02</v>
      </c>
      <c r="R61" s="128">
        <v>16</v>
      </c>
      <c r="S61" s="128">
        <v>1.77</v>
      </c>
      <c r="T61" s="40">
        <v>2.56</v>
      </c>
      <c r="U61" s="129">
        <v>1.3125</v>
      </c>
      <c r="V61" s="40">
        <v>4.51</v>
      </c>
      <c r="W61" s="83" t="s">
        <v>127</v>
      </c>
      <c r="X61" s="35">
        <f t="shared" si="0"/>
        <v>39.666666666666664</v>
      </c>
      <c r="Y61" s="36">
        <f t="shared" si="1"/>
        <v>4.2391287744013448</v>
      </c>
      <c r="Z61" s="33">
        <v>1.56</v>
      </c>
      <c r="AA61" s="40">
        <v>31100</v>
      </c>
      <c r="AB61" s="128">
        <v>1410</v>
      </c>
      <c r="AC61" s="40">
        <v>17.8</v>
      </c>
      <c r="AD61" s="40">
        <v>1200</v>
      </c>
      <c r="AE61" s="128">
        <v>151</v>
      </c>
      <c r="AF61" s="40">
        <v>3.5</v>
      </c>
      <c r="AG61" s="41">
        <v>1620</v>
      </c>
      <c r="AH61" s="40">
        <v>236</v>
      </c>
      <c r="AI61" s="41">
        <v>74.400000000000006</v>
      </c>
      <c r="AJ61" s="40">
        <v>536000</v>
      </c>
      <c r="AK61" s="40">
        <v>168</v>
      </c>
      <c r="AL61" s="40">
        <v>1190</v>
      </c>
      <c r="AM61" s="40">
        <v>279</v>
      </c>
      <c r="AN61" s="40">
        <v>805</v>
      </c>
      <c r="AO61" s="130" t="s">
        <v>248</v>
      </c>
      <c r="AP61" s="131" t="s">
        <v>69</v>
      </c>
      <c r="AQ61" s="40">
        <f t="shared" si="2"/>
        <v>148.3524452107211</v>
      </c>
      <c r="AR61" s="41">
        <f t="shared" si="12"/>
        <v>42.23</v>
      </c>
      <c r="AS61" s="37">
        <f t="shared" si="3"/>
        <v>465.90003265952475</v>
      </c>
      <c r="AT61" s="42">
        <f t="shared" si="4"/>
        <v>81000</v>
      </c>
      <c r="AU61" s="31">
        <f t="shared" si="5"/>
        <v>49350</v>
      </c>
      <c r="AV61" s="31">
        <f t="shared" si="6"/>
        <v>99.670100643113045</v>
      </c>
      <c r="AW61" s="37">
        <f t="shared" si="7"/>
        <v>21165.947471723659</v>
      </c>
      <c r="AX61" s="31">
        <f t="shared" si="8"/>
        <v>148.3524452107211</v>
      </c>
      <c r="AY61" s="42">
        <f t="shared" si="9"/>
        <v>94231.449574771919</v>
      </c>
      <c r="AZ61" s="42">
        <f t="shared" si="13"/>
        <v>29843985.935130358</v>
      </c>
      <c r="BA61" s="42">
        <f t="shared" si="10"/>
        <v>90351.156505533931</v>
      </c>
      <c r="BB61" s="42">
        <f t="shared" si="11"/>
        <v>11800</v>
      </c>
      <c r="BC61" s="38">
        <f t="shared" si="14"/>
        <v>41.44</v>
      </c>
      <c r="BD61" s="38">
        <f t="shared" si="15"/>
        <v>40.627450980392155</v>
      </c>
      <c r="BE61" s="38">
        <f t="shared" si="16"/>
        <v>44.88</v>
      </c>
      <c r="BH61" s="33">
        <v>43.16</v>
      </c>
      <c r="BI61" s="81">
        <v>4.12</v>
      </c>
    </row>
    <row r="62" spans="1:61">
      <c r="A62" s="19"/>
      <c r="B62" s="19"/>
      <c r="C62" s="19"/>
      <c r="D62" s="19"/>
      <c r="N62" s="127" t="s">
        <v>249</v>
      </c>
      <c r="O62" s="40">
        <v>85.8</v>
      </c>
      <c r="P62" s="128">
        <v>43.6</v>
      </c>
      <c r="Q62" s="128">
        <v>0.87</v>
      </c>
      <c r="R62" s="128">
        <v>15.8</v>
      </c>
      <c r="S62" s="128">
        <v>1.58</v>
      </c>
      <c r="T62" s="40">
        <v>2.37</v>
      </c>
      <c r="U62" s="132">
        <v>1.25</v>
      </c>
      <c r="V62" s="40">
        <v>5.01</v>
      </c>
      <c r="W62" s="83" t="s">
        <v>127</v>
      </c>
      <c r="X62" s="35">
        <f t="shared" si="0"/>
        <v>46.482758620689651</v>
      </c>
      <c r="Y62" s="36">
        <f t="shared" si="1"/>
        <v>4.2179053814010112</v>
      </c>
      <c r="Z62" s="33">
        <v>1.74</v>
      </c>
      <c r="AA62" s="40">
        <v>27100</v>
      </c>
      <c r="AB62" s="128">
        <v>1240</v>
      </c>
      <c r="AC62" s="40">
        <v>17.8</v>
      </c>
      <c r="AD62" s="40">
        <v>1050</v>
      </c>
      <c r="AE62" s="128">
        <v>132</v>
      </c>
      <c r="AF62" s="40">
        <v>3.49</v>
      </c>
      <c r="AG62" s="41">
        <v>1420</v>
      </c>
      <c r="AH62" s="40">
        <v>206</v>
      </c>
      <c r="AI62" s="41">
        <v>51.5</v>
      </c>
      <c r="AJ62" s="40">
        <v>464000</v>
      </c>
      <c r="AK62" s="40">
        <v>166</v>
      </c>
      <c r="AL62" s="40">
        <v>1040</v>
      </c>
      <c r="AM62" s="40">
        <v>248</v>
      </c>
      <c r="AN62" s="40">
        <v>704</v>
      </c>
      <c r="AO62" s="130" t="s">
        <v>248</v>
      </c>
      <c r="AP62" s="131" t="s">
        <v>69</v>
      </c>
      <c r="AQ62" s="40">
        <f t="shared" si="2"/>
        <v>147.92858108154761</v>
      </c>
      <c r="AR62" s="41">
        <f t="shared" si="12"/>
        <v>42.02</v>
      </c>
      <c r="AS62" s="37">
        <f t="shared" si="3"/>
        <v>445.75613450812949</v>
      </c>
      <c r="AT62" s="42">
        <f t="shared" si="4"/>
        <v>71000</v>
      </c>
      <c r="AU62" s="31">
        <f t="shared" si="5"/>
        <v>43400</v>
      </c>
      <c r="AV62" s="31">
        <f t="shared" si="6"/>
        <v>92.671076542297612</v>
      </c>
      <c r="AW62" s="37">
        <f t="shared" si="7"/>
        <v>20951.765645983833</v>
      </c>
      <c r="AX62" s="31">
        <f t="shared" si="8"/>
        <v>147.92858108154761</v>
      </c>
      <c r="AY62" s="42">
        <f t="shared" si="9"/>
        <v>83263.032066141735</v>
      </c>
      <c r="AZ62" s="42">
        <f t="shared" si="13"/>
        <v>25980189.401019953</v>
      </c>
      <c r="BA62" s="42">
        <f t="shared" si="10"/>
        <v>79154.56301904381</v>
      </c>
      <c r="BB62" s="42">
        <f t="shared" si="11"/>
        <v>10300</v>
      </c>
      <c r="BC62" s="38">
        <f t="shared" si="14"/>
        <v>41.230000000000004</v>
      </c>
      <c r="BD62" s="38">
        <f t="shared" si="15"/>
        <v>47.390804597701155</v>
      </c>
      <c r="BE62" s="38">
        <f t="shared" si="16"/>
        <v>37.932000000000002</v>
      </c>
      <c r="BH62" s="33">
        <v>50.14</v>
      </c>
      <c r="BI62" s="81">
        <v>4.0999999999999996</v>
      </c>
    </row>
    <row r="63" spans="1:61">
      <c r="A63" s="19"/>
      <c r="B63" s="19"/>
      <c r="C63" s="19"/>
      <c r="D63" s="19"/>
      <c r="N63" s="123" t="s">
        <v>250</v>
      </c>
      <c r="O63" s="80">
        <v>83.8</v>
      </c>
      <c r="P63" s="124">
        <v>44.02</v>
      </c>
      <c r="Q63" s="124">
        <v>1.024</v>
      </c>
      <c r="R63" s="133">
        <v>11.811</v>
      </c>
      <c r="S63" s="124">
        <v>1.772</v>
      </c>
      <c r="T63" s="80">
        <v>2.6875</v>
      </c>
      <c r="U63" s="80">
        <v>1.375</v>
      </c>
      <c r="V63" s="80">
        <v>3.3</v>
      </c>
      <c r="W63" s="125" t="s">
        <v>127</v>
      </c>
      <c r="X63" s="35">
        <f t="shared" si="0"/>
        <v>39.527343750000007</v>
      </c>
      <c r="Y63" s="36">
        <f t="shared" si="1"/>
        <v>3.040024670952524</v>
      </c>
      <c r="Z63" s="80">
        <v>2.1</v>
      </c>
      <c r="AA63" s="80">
        <v>24600</v>
      </c>
      <c r="AB63" s="124">
        <v>1120</v>
      </c>
      <c r="AC63" s="80">
        <v>17.100000000000001</v>
      </c>
      <c r="AD63" s="80">
        <v>490</v>
      </c>
      <c r="AE63" s="124">
        <v>83</v>
      </c>
      <c r="AF63" s="80">
        <v>2.42</v>
      </c>
      <c r="AG63" s="81">
        <v>1310</v>
      </c>
      <c r="AH63" s="80">
        <v>135</v>
      </c>
      <c r="AI63" s="81">
        <v>60</v>
      </c>
      <c r="AJ63" s="80">
        <v>219000</v>
      </c>
      <c r="AK63" s="80">
        <v>125</v>
      </c>
      <c r="AL63" s="80">
        <v>653</v>
      </c>
      <c r="AM63" s="80">
        <v>204</v>
      </c>
      <c r="AN63" s="80">
        <v>657</v>
      </c>
      <c r="AO63" s="125" t="s">
        <v>251</v>
      </c>
      <c r="AP63" s="126" t="s">
        <v>69</v>
      </c>
      <c r="AQ63" s="40">
        <f t="shared" si="2"/>
        <v>102.57511925998429</v>
      </c>
      <c r="AR63" s="41">
        <f t="shared" si="12"/>
        <v>42.248000000000005</v>
      </c>
      <c r="AS63" s="37">
        <f t="shared" si="3"/>
        <v>335.02987528940389</v>
      </c>
      <c r="AT63" s="42">
        <f t="shared" si="4"/>
        <v>65500</v>
      </c>
      <c r="AU63" s="31">
        <f t="shared" si="5"/>
        <v>39200</v>
      </c>
      <c r="AV63" s="31">
        <f t="shared" si="6"/>
        <v>113.14029641394585</v>
      </c>
      <c r="AW63" s="37">
        <f t="shared" si="7"/>
        <v>10892.237786505519</v>
      </c>
      <c r="AX63" s="31">
        <f t="shared" si="8"/>
        <v>102.57511925998429</v>
      </c>
      <c r="AY63" s="42">
        <f t="shared" si="9"/>
        <v>75340.390773712919</v>
      </c>
      <c r="AZ63" s="42">
        <f t="shared" si="13"/>
        <v>12199306.320886182</v>
      </c>
      <c r="BA63" s="42">
        <f t="shared" si="10"/>
        <v>73270.47128263957</v>
      </c>
      <c r="BB63" s="42">
        <f t="shared" si="11"/>
        <v>6750</v>
      </c>
      <c r="BC63" s="38">
        <f t="shared" si="14"/>
        <v>41.332500000000003</v>
      </c>
      <c r="BD63" s="38">
        <f t="shared" si="15"/>
        <v>40.36376953125</v>
      </c>
      <c r="BE63" s="38">
        <f t="shared" si="16"/>
        <v>45.076480000000004</v>
      </c>
      <c r="BH63" s="80">
        <v>43</v>
      </c>
      <c r="BI63" s="81">
        <v>2.95</v>
      </c>
    </row>
    <row r="64" spans="1:61">
      <c r="A64" s="19"/>
      <c r="B64" s="19"/>
      <c r="C64" s="19"/>
      <c r="D64" s="19"/>
      <c r="N64" s="127" t="s">
        <v>252</v>
      </c>
      <c r="O64" s="40">
        <v>77.2</v>
      </c>
      <c r="P64" s="128">
        <v>43.3</v>
      </c>
      <c r="Q64" s="128">
        <v>0.79</v>
      </c>
      <c r="R64" s="128">
        <v>15.8</v>
      </c>
      <c r="S64" s="128">
        <v>1.42</v>
      </c>
      <c r="T64" s="40">
        <v>2.21</v>
      </c>
      <c r="U64" s="132">
        <v>1.1875</v>
      </c>
      <c r="V64" s="40">
        <v>5.55</v>
      </c>
      <c r="W64" s="83" t="s">
        <v>127</v>
      </c>
      <c r="X64" s="35">
        <f t="shared" si="0"/>
        <v>51.215189873417714</v>
      </c>
      <c r="Y64" s="36">
        <f t="shared" si="1"/>
        <v>4.1631225403192591</v>
      </c>
      <c r="Z64" s="33">
        <v>1.94</v>
      </c>
      <c r="AA64" s="40">
        <v>24200</v>
      </c>
      <c r="AB64" s="128">
        <v>1120</v>
      </c>
      <c r="AC64" s="40">
        <v>17.7</v>
      </c>
      <c r="AD64" s="40">
        <v>927</v>
      </c>
      <c r="AE64" s="128">
        <v>118</v>
      </c>
      <c r="AF64" s="40">
        <v>3.46</v>
      </c>
      <c r="AG64" s="41">
        <v>1270</v>
      </c>
      <c r="AH64" s="40">
        <v>183</v>
      </c>
      <c r="AI64" s="41">
        <v>37.700000000000003</v>
      </c>
      <c r="AJ64" s="40">
        <v>407000</v>
      </c>
      <c r="AK64" s="40">
        <v>165</v>
      </c>
      <c r="AL64" s="40">
        <v>922</v>
      </c>
      <c r="AM64" s="40">
        <v>222</v>
      </c>
      <c r="AN64" s="40">
        <v>630</v>
      </c>
      <c r="AO64" s="130" t="s">
        <v>248</v>
      </c>
      <c r="AP64" s="131" t="s">
        <v>69</v>
      </c>
      <c r="AQ64" s="40">
        <f t="shared" si="2"/>
        <v>146.65698869402712</v>
      </c>
      <c r="AR64" s="41">
        <f t="shared" si="12"/>
        <v>41.879999999999995</v>
      </c>
      <c r="AS64" s="37">
        <f t="shared" si="3"/>
        <v>427.69496395690851</v>
      </c>
      <c r="AT64" s="42">
        <f t="shared" si="4"/>
        <v>63500</v>
      </c>
      <c r="AU64" s="31">
        <f t="shared" si="5"/>
        <v>39200</v>
      </c>
      <c r="AV64" s="31">
        <f t="shared" si="6"/>
        <v>86.465183138577316</v>
      </c>
      <c r="AW64" s="37">
        <f t="shared" si="7"/>
        <v>20409.273166020575</v>
      </c>
      <c r="AX64" s="31">
        <f t="shared" si="8"/>
        <v>146.65698869402712</v>
      </c>
      <c r="AY64" s="42">
        <f t="shared" si="9"/>
        <v>74831.86652901952</v>
      </c>
      <c r="AZ64" s="42">
        <f t="shared" si="13"/>
        <v>22858385.945943043</v>
      </c>
      <c r="BA64" s="42">
        <f t="shared" si="10"/>
        <v>70679.560918940741</v>
      </c>
      <c r="BB64" s="42">
        <f t="shared" si="11"/>
        <v>9150</v>
      </c>
      <c r="BC64" s="38">
        <f t="shared" si="14"/>
        <v>41.089999999999996</v>
      </c>
      <c r="BD64" s="38">
        <f t="shared" si="15"/>
        <v>52.012658227848092</v>
      </c>
      <c r="BE64" s="38">
        <f t="shared" si="16"/>
        <v>34.207000000000001</v>
      </c>
      <c r="BH64" s="33">
        <v>54.82</v>
      </c>
      <c r="BI64" s="81">
        <v>4.07</v>
      </c>
    </row>
    <row r="65" spans="1:61">
      <c r="A65" s="19"/>
      <c r="B65" s="19"/>
      <c r="C65" s="19"/>
      <c r="D65" s="19"/>
      <c r="N65" s="123" t="s">
        <v>253</v>
      </c>
      <c r="O65" s="80">
        <v>72.8</v>
      </c>
      <c r="P65" s="124">
        <v>43.62</v>
      </c>
      <c r="Q65" s="124">
        <v>0.86499999999999999</v>
      </c>
      <c r="R65" s="133">
        <v>11.811</v>
      </c>
      <c r="S65" s="124">
        <v>1.575</v>
      </c>
      <c r="T65" s="80">
        <v>2.5</v>
      </c>
      <c r="U65" s="80">
        <v>1.3125</v>
      </c>
      <c r="V65" s="80">
        <v>3.7</v>
      </c>
      <c r="W65" s="125" t="s">
        <v>127</v>
      </c>
      <c r="X65" s="35">
        <f t="shared" si="0"/>
        <v>46.786127167630056</v>
      </c>
      <c r="Y65" s="36">
        <f t="shared" si="1"/>
        <v>3.0500717100453758</v>
      </c>
      <c r="Z65" s="80">
        <v>2.34</v>
      </c>
      <c r="AA65" s="80">
        <v>21400</v>
      </c>
      <c r="AB65" s="124">
        <v>983</v>
      </c>
      <c r="AC65" s="80">
        <v>17.2</v>
      </c>
      <c r="AD65" s="80">
        <v>435</v>
      </c>
      <c r="AE65" s="124">
        <v>74</v>
      </c>
      <c r="AF65" s="80">
        <v>2.44</v>
      </c>
      <c r="AG65" s="81">
        <v>1150</v>
      </c>
      <c r="AH65" s="80">
        <v>118</v>
      </c>
      <c r="AI65" s="81">
        <v>40.700000000000003</v>
      </c>
      <c r="AJ65" s="80">
        <v>192000</v>
      </c>
      <c r="AK65" s="80">
        <v>124</v>
      </c>
      <c r="AL65" s="80">
        <v>577</v>
      </c>
      <c r="AM65" s="80">
        <v>184</v>
      </c>
      <c r="AN65" s="80">
        <v>574</v>
      </c>
      <c r="AO65" s="125" t="s">
        <v>251</v>
      </c>
      <c r="AP65" s="126" t="s">
        <v>69</v>
      </c>
      <c r="AQ65" s="40">
        <f t="shared" si="2"/>
        <v>103.42284751833125</v>
      </c>
      <c r="AR65" s="41">
        <f t="shared" si="12"/>
        <v>42.044999999999995</v>
      </c>
      <c r="AS65" s="37">
        <f t="shared" si="3"/>
        <v>322.15891932576744</v>
      </c>
      <c r="AT65" s="42">
        <f t="shared" si="4"/>
        <v>57500</v>
      </c>
      <c r="AU65" s="31">
        <f t="shared" si="5"/>
        <v>34405</v>
      </c>
      <c r="AV65" s="31">
        <f t="shared" si="6"/>
        <v>105.58386556530846</v>
      </c>
      <c r="AW65" s="37">
        <f t="shared" si="7"/>
        <v>10961.098103741313</v>
      </c>
      <c r="AX65" s="31">
        <f t="shared" si="8"/>
        <v>103.42284751833125</v>
      </c>
      <c r="AY65" s="42">
        <f t="shared" si="9"/>
        <v>66772.675725938068</v>
      </c>
      <c r="AZ65" s="42">
        <f t="shared" si="13"/>
        <v>10774759.43597771</v>
      </c>
      <c r="BA65" s="42">
        <f t="shared" si="10"/>
        <v>64323.537424812203</v>
      </c>
      <c r="BB65" s="42">
        <f t="shared" si="11"/>
        <v>5900</v>
      </c>
      <c r="BC65" s="38">
        <f t="shared" si="14"/>
        <v>41.12</v>
      </c>
      <c r="BD65" s="38">
        <f t="shared" si="15"/>
        <v>47.537572254335259</v>
      </c>
      <c r="BE65" s="38">
        <f t="shared" si="16"/>
        <v>37.731299999999997</v>
      </c>
      <c r="BH65" s="80">
        <v>50.4</v>
      </c>
      <c r="BI65" s="81">
        <v>2.96</v>
      </c>
    </row>
    <row r="66" spans="1:61">
      <c r="A66" s="19"/>
      <c r="B66" s="19"/>
      <c r="C66" s="19"/>
      <c r="D66" s="19"/>
      <c r="N66" s="127" t="s">
        <v>254</v>
      </c>
      <c r="O66" s="40">
        <v>67.7</v>
      </c>
      <c r="P66" s="128">
        <v>42.9</v>
      </c>
      <c r="Q66" s="128">
        <v>0.71</v>
      </c>
      <c r="R66" s="128">
        <v>15.8</v>
      </c>
      <c r="S66" s="128">
        <v>1.22</v>
      </c>
      <c r="T66" s="40">
        <v>2.0099999999999998</v>
      </c>
      <c r="U66" s="132">
        <v>1.1875</v>
      </c>
      <c r="V66" s="40">
        <v>6.45</v>
      </c>
      <c r="W66" s="83" t="s">
        <v>127</v>
      </c>
      <c r="X66" s="35">
        <f t="shared" ref="X66:X129" si="18">(P66-(2*S66))/Q66</f>
        <v>56.985915492957751</v>
      </c>
      <c r="Y66" s="36">
        <f t="shared" ref="Y66:Y129" si="19">((AD66*AR66)/(2*AB66))^0.5</f>
        <v>4.1332890377791056</v>
      </c>
      <c r="Z66" s="33">
        <v>2.23</v>
      </c>
      <c r="AA66" s="40">
        <v>20800</v>
      </c>
      <c r="AB66" s="128">
        <v>971</v>
      </c>
      <c r="AC66" s="40">
        <v>17.5</v>
      </c>
      <c r="AD66" s="40">
        <v>796</v>
      </c>
      <c r="AE66" s="128">
        <v>101</v>
      </c>
      <c r="AF66" s="40">
        <v>3.43</v>
      </c>
      <c r="AG66" s="41">
        <v>1100</v>
      </c>
      <c r="AH66" s="40">
        <v>157</v>
      </c>
      <c r="AI66" s="41">
        <v>24.9</v>
      </c>
      <c r="AJ66" s="40">
        <v>346000</v>
      </c>
      <c r="AK66" s="40">
        <v>164</v>
      </c>
      <c r="AL66" s="40">
        <v>789</v>
      </c>
      <c r="AM66" s="40">
        <v>191</v>
      </c>
      <c r="AN66" s="40">
        <v>546</v>
      </c>
      <c r="AO66" s="130" t="s">
        <v>248</v>
      </c>
      <c r="AP66" s="131" t="s">
        <v>69</v>
      </c>
      <c r="AQ66" s="40">
        <f t="shared" ref="AQ66:AQ129" si="20">1.76*AF66*($B$10/$B$11)^0.5</f>
        <v>145.38539630650666</v>
      </c>
      <c r="AR66" s="41">
        <f t="shared" si="12"/>
        <v>41.68</v>
      </c>
      <c r="AS66" s="37">
        <f t="shared" ref="AS66:AS129" si="21">((1.95*Y66*$B$10)/(0.7*$B$11))*(((AI66*1)/(AB66*AR66))^0.5)*(1+(1+(6.76*(((0.7*$B$11*AB66*AR66)/($B$10*AI66*1))^2)))^0.5)^0.5</f>
        <v>412.37251483415594</v>
      </c>
      <c r="AT66" s="42">
        <f t="shared" ref="AT66:AT129" si="22">$B$11*AG66</f>
        <v>55000</v>
      </c>
      <c r="AU66" s="31">
        <f t="shared" ref="AU66:AU129" si="23">0.7*$B$11*AB66</f>
        <v>33985</v>
      </c>
      <c r="AV66" s="31">
        <f t="shared" ref="AV66:AV129" si="24">(AT66-AU66)/(AS66-AQ66)</f>
        <v>78.711662629609904</v>
      </c>
      <c r="AW66" s="37">
        <f t="shared" ref="AW66:AW129" si="25">(($B$28*(3.142857143^2)*$B$10)/(($B$20*12)/Y66)^2)*((1+((0.078*AI66*(((12*$B$20)/Y66)^2))/(AB66*AR66)))^0.5)</f>
        <v>20115.833270665076</v>
      </c>
      <c r="AX66" s="31">
        <f t="shared" ref="AX66:AX129" si="26">AQ66+((AT66*($B$28-1))/(AV66*$B$28))</f>
        <v>145.38539630650666</v>
      </c>
      <c r="AY66" s="42">
        <f t="shared" ref="AY66:AY129" si="27">$B$28*(AT66-(AV66*(($B$20*12)-AQ66)))</f>
        <v>65215.624328327976</v>
      </c>
      <c r="AZ66" s="42">
        <f t="shared" si="13"/>
        <v>19532474.105815791</v>
      </c>
      <c r="BA66" s="42">
        <f t="shared" ref="BA66:BA129" si="28">AT66-((AT66-(0.7*$B$11*AB66))*($J$17))</f>
        <v>61208.99064656542</v>
      </c>
      <c r="BB66" s="42">
        <f t="shared" ref="BB66:BB129" si="29">AH66*$B$11</f>
        <v>7850</v>
      </c>
      <c r="BC66" s="38">
        <f t="shared" si="14"/>
        <v>40.89</v>
      </c>
      <c r="BD66" s="38">
        <f t="shared" si="15"/>
        <v>57.591549295774655</v>
      </c>
      <c r="BE66" s="38">
        <f t="shared" si="16"/>
        <v>30.458999999999996</v>
      </c>
      <c r="BH66" s="33">
        <v>60.44</v>
      </c>
      <c r="BI66" s="81">
        <v>4.05</v>
      </c>
    </row>
    <row r="67" spans="1:61">
      <c r="A67" s="19"/>
      <c r="B67" s="19"/>
      <c r="C67" s="19"/>
      <c r="D67" s="19"/>
      <c r="N67" s="123" t="s">
        <v>255</v>
      </c>
      <c r="O67" s="80">
        <v>65.8</v>
      </c>
      <c r="P67" s="124">
        <v>43.31</v>
      </c>
      <c r="Q67" s="124">
        <v>0.78700000000000003</v>
      </c>
      <c r="R67" s="133">
        <v>11.811</v>
      </c>
      <c r="S67" s="124">
        <v>1.4159999999999999</v>
      </c>
      <c r="T67" s="80">
        <v>2.3125</v>
      </c>
      <c r="U67" s="80">
        <v>1.3125</v>
      </c>
      <c r="V67" s="80">
        <v>4.2</v>
      </c>
      <c r="W67" s="125" t="s">
        <v>127</v>
      </c>
      <c r="X67" s="35">
        <f t="shared" si="18"/>
        <v>51.433290978398986</v>
      </c>
      <c r="Y67" s="36">
        <f t="shared" si="19"/>
        <v>3.0352775838872788</v>
      </c>
      <c r="Z67" s="80">
        <v>2.59</v>
      </c>
      <c r="AA67" s="80">
        <v>19200</v>
      </c>
      <c r="AB67" s="124">
        <v>889</v>
      </c>
      <c r="AC67" s="80">
        <v>17.100000000000001</v>
      </c>
      <c r="AD67" s="80">
        <v>391</v>
      </c>
      <c r="AE67" s="124">
        <v>66</v>
      </c>
      <c r="AF67" s="80">
        <v>2.44</v>
      </c>
      <c r="AG67" s="81">
        <v>1030</v>
      </c>
      <c r="AH67" s="80">
        <v>105</v>
      </c>
      <c r="AI67" s="81">
        <v>30</v>
      </c>
      <c r="AJ67" s="80">
        <v>172000</v>
      </c>
      <c r="AK67" s="80">
        <v>124</v>
      </c>
      <c r="AL67" s="80">
        <v>517</v>
      </c>
      <c r="AM67" s="80">
        <v>166</v>
      </c>
      <c r="AN67" s="80">
        <v>517</v>
      </c>
      <c r="AO67" s="125" t="s">
        <v>251</v>
      </c>
      <c r="AP67" s="126" t="s">
        <v>69</v>
      </c>
      <c r="AQ67" s="40">
        <f t="shared" si="20"/>
        <v>103.42284751833125</v>
      </c>
      <c r="AR67" s="41">
        <f t="shared" ref="AR67:AR130" si="30">(P67-S67)</f>
        <v>41.894000000000005</v>
      </c>
      <c r="AS67" s="37">
        <f t="shared" si="21"/>
        <v>311.91155509132375</v>
      </c>
      <c r="AT67" s="42">
        <f t="shared" si="22"/>
        <v>51500</v>
      </c>
      <c r="AU67" s="31">
        <f t="shared" si="23"/>
        <v>31115</v>
      </c>
      <c r="AV67" s="31">
        <f t="shared" si="24"/>
        <v>97.775079702401399</v>
      </c>
      <c r="AW67" s="37">
        <f t="shared" si="25"/>
        <v>10853.129876230116</v>
      </c>
      <c r="AX67" s="31">
        <f t="shared" si="26"/>
        <v>103.42284751833125</v>
      </c>
      <c r="AY67" s="42">
        <f t="shared" si="27"/>
        <v>60086.88591579668</v>
      </c>
      <c r="AZ67" s="42">
        <f t="shared" ref="AZ67:AZ130" si="31">AW67*AB67</f>
        <v>9648432.4599685725</v>
      </c>
      <c r="BA67" s="42">
        <f t="shared" si="28"/>
        <v>57522.853882000287</v>
      </c>
      <c r="BB67" s="42">
        <f t="shared" si="29"/>
        <v>5250</v>
      </c>
      <c r="BC67" s="38">
        <f t="shared" ref="BC67:BC130" si="32">P67-T67</f>
        <v>40.997500000000002</v>
      </c>
      <c r="BD67" s="38">
        <f t="shared" ref="BD67:BD130" si="33">BC67/Q67</f>
        <v>52.093392630241425</v>
      </c>
      <c r="BE67" s="38">
        <f t="shared" ref="BE67:BE130" si="34">Q67*P67</f>
        <v>34.084970000000006</v>
      </c>
      <c r="BH67" s="80">
        <v>55</v>
      </c>
      <c r="BI67" s="81">
        <v>2.96</v>
      </c>
    </row>
    <row r="68" spans="1:61">
      <c r="A68" s="19"/>
      <c r="B68" s="19"/>
      <c r="C68" s="19"/>
      <c r="D68" s="19"/>
      <c r="N68" s="123" t="s">
        <v>256</v>
      </c>
      <c r="O68" s="80">
        <v>58</v>
      </c>
      <c r="P68" s="124">
        <v>42.91</v>
      </c>
      <c r="Q68" s="124">
        <v>0.70899999999999996</v>
      </c>
      <c r="R68" s="133">
        <v>11.811</v>
      </c>
      <c r="S68" s="124">
        <v>1.22</v>
      </c>
      <c r="T68" s="80">
        <v>2.125</v>
      </c>
      <c r="U68" s="80">
        <v>1.25</v>
      </c>
      <c r="V68" s="80">
        <v>4.8</v>
      </c>
      <c r="W68" s="125" t="s">
        <v>127</v>
      </c>
      <c r="X68" s="35">
        <f t="shared" si="18"/>
        <v>57.080394922425953</v>
      </c>
      <c r="Y68" s="36">
        <f t="shared" si="19"/>
        <v>3.0042753041445427</v>
      </c>
      <c r="Z68" s="80">
        <v>2.98</v>
      </c>
      <c r="AA68" s="80">
        <v>16700</v>
      </c>
      <c r="AB68" s="124">
        <v>776</v>
      </c>
      <c r="AC68" s="80">
        <v>16.899999999999999</v>
      </c>
      <c r="AD68" s="80">
        <v>336</v>
      </c>
      <c r="AE68" s="124">
        <v>57</v>
      </c>
      <c r="AF68" s="80">
        <v>2.41</v>
      </c>
      <c r="AG68" s="81">
        <v>902</v>
      </c>
      <c r="AH68" s="80">
        <v>90</v>
      </c>
      <c r="AI68" s="81">
        <v>20.100000000000001</v>
      </c>
      <c r="AJ68" s="80">
        <v>146000</v>
      </c>
      <c r="AK68" s="80">
        <v>123</v>
      </c>
      <c r="AL68" s="80">
        <v>443</v>
      </c>
      <c r="AM68" s="80">
        <v>144</v>
      </c>
      <c r="AN68" s="80">
        <v>450</v>
      </c>
      <c r="AO68" s="125" t="s">
        <v>251</v>
      </c>
      <c r="AP68" s="126" t="s">
        <v>69</v>
      </c>
      <c r="AQ68" s="40">
        <f t="shared" si="20"/>
        <v>102.15125513081081</v>
      </c>
      <c r="AR68" s="41">
        <f t="shared" si="30"/>
        <v>41.69</v>
      </c>
      <c r="AS68" s="37">
        <f t="shared" si="21"/>
        <v>300.01603015139267</v>
      </c>
      <c r="AT68" s="42">
        <f t="shared" si="22"/>
        <v>45100</v>
      </c>
      <c r="AU68" s="31">
        <f t="shared" si="23"/>
        <v>27160</v>
      </c>
      <c r="AV68" s="31">
        <f t="shared" si="24"/>
        <v>90.667982707553094</v>
      </c>
      <c r="AW68" s="37">
        <f t="shared" si="25"/>
        <v>10630.681178991939</v>
      </c>
      <c r="AX68" s="31">
        <f t="shared" si="26"/>
        <v>102.15125513081081</v>
      </c>
      <c r="AY68" s="42">
        <f t="shared" si="27"/>
        <v>52947.427703517373</v>
      </c>
      <c r="AZ68" s="42">
        <f t="shared" si="31"/>
        <v>8249408.5948977452</v>
      </c>
      <c r="BA68" s="42">
        <f t="shared" si="28"/>
        <v>50400.465962378476</v>
      </c>
      <c r="BB68" s="42">
        <f t="shared" si="29"/>
        <v>4500</v>
      </c>
      <c r="BC68" s="38">
        <f t="shared" si="32"/>
        <v>40.784999999999997</v>
      </c>
      <c r="BD68" s="38">
        <f t="shared" si="33"/>
        <v>57.524682651622001</v>
      </c>
      <c r="BE68" s="38">
        <f t="shared" si="34"/>
        <v>30.423189999999995</v>
      </c>
      <c r="BH68" s="80">
        <v>60.5</v>
      </c>
      <c r="BI68" s="81">
        <v>2.94</v>
      </c>
    </row>
    <row r="69" spans="1:61">
      <c r="A69" s="19"/>
      <c r="B69" s="19"/>
      <c r="C69" s="19"/>
      <c r="D69" s="19"/>
      <c r="N69" s="123" t="s">
        <v>257</v>
      </c>
      <c r="O69" s="80">
        <v>192</v>
      </c>
      <c r="P69" s="124">
        <v>43.62</v>
      </c>
      <c r="Q69" s="124">
        <v>1.97</v>
      </c>
      <c r="R69" s="124">
        <v>16.87</v>
      </c>
      <c r="S69" s="124">
        <v>3.54</v>
      </c>
      <c r="T69" s="80">
        <v>4.9375</v>
      </c>
      <c r="U69" s="80">
        <v>2.25</v>
      </c>
      <c r="V69" s="80">
        <v>2.4</v>
      </c>
      <c r="W69" s="125" t="s">
        <v>127</v>
      </c>
      <c r="X69" s="35">
        <f t="shared" si="18"/>
        <v>18.548223350253807</v>
      </c>
      <c r="Y69" s="36">
        <f t="shared" si="19"/>
        <v>4.7041590076348365</v>
      </c>
      <c r="Z69" s="80">
        <v>0.73</v>
      </c>
      <c r="AA69" s="80">
        <v>56500</v>
      </c>
      <c r="AB69" s="124">
        <v>2590</v>
      </c>
      <c r="AC69" s="80">
        <v>17.2</v>
      </c>
      <c r="AD69" s="80">
        <v>2860</v>
      </c>
      <c r="AE69" s="124">
        <v>339</v>
      </c>
      <c r="AF69" s="80">
        <v>3.86</v>
      </c>
      <c r="AG69" s="81">
        <v>3060</v>
      </c>
      <c r="AH69" s="80">
        <v>541</v>
      </c>
      <c r="AI69" s="81">
        <v>596</v>
      </c>
      <c r="AJ69" s="80">
        <v>1140000</v>
      </c>
      <c r="AK69" s="80">
        <v>169</v>
      </c>
      <c r="AL69" s="80">
        <v>2520</v>
      </c>
      <c r="AM69" s="80">
        <v>534</v>
      </c>
      <c r="AN69" s="80">
        <v>1530</v>
      </c>
      <c r="AO69" s="125" t="s">
        <v>258</v>
      </c>
      <c r="AP69" s="126" t="s">
        <v>69</v>
      </c>
      <c r="AQ69" s="40">
        <f t="shared" si="20"/>
        <v>163.61155386096667</v>
      </c>
      <c r="AR69" s="41">
        <f t="shared" si="30"/>
        <v>40.08</v>
      </c>
      <c r="AS69" s="37">
        <f t="shared" si="21"/>
        <v>842.40939181633212</v>
      </c>
      <c r="AT69" s="42">
        <f t="shared" si="22"/>
        <v>153000</v>
      </c>
      <c r="AU69" s="31">
        <f t="shared" si="23"/>
        <v>90650</v>
      </c>
      <c r="AV69" s="31">
        <f t="shared" si="24"/>
        <v>91.853563039928005</v>
      </c>
      <c r="AW69" s="37">
        <f t="shared" si="25"/>
        <v>26111.322913059881</v>
      </c>
      <c r="AX69" s="31">
        <f t="shared" si="26"/>
        <v>163.61155386096667</v>
      </c>
      <c r="AY69" s="42">
        <f t="shared" si="27"/>
        <v>166595.38859320601</v>
      </c>
      <c r="AZ69" s="42">
        <f t="shared" si="31"/>
        <v>67628326.344825089</v>
      </c>
      <c r="BA69" s="42">
        <f t="shared" si="28"/>
        <v>171421.63058831092</v>
      </c>
      <c r="BB69" s="42">
        <f t="shared" si="29"/>
        <v>27050</v>
      </c>
      <c r="BC69" s="38">
        <f t="shared" si="32"/>
        <v>38.682499999999997</v>
      </c>
      <c r="BD69" s="38">
        <f t="shared" si="33"/>
        <v>19.635786802030456</v>
      </c>
      <c r="BE69" s="38">
        <f t="shared" si="34"/>
        <v>85.931399999999996</v>
      </c>
      <c r="BH69" s="80">
        <v>22.1</v>
      </c>
      <c r="BI69" s="81">
        <v>4.43</v>
      </c>
    </row>
    <row r="70" spans="1:61">
      <c r="A70" s="19"/>
      <c r="B70" s="19"/>
      <c r="C70" s="19"/>
      <c r="D70" s="19"/>
      <c r="N70" s="30" t="s">
        <v>259</v>
      </c>
      <c r="O70" s="40">
        <v>174</v>
      </c>
      <c r="P70" s="128">
        <v>43</v>
      </c>
      <c r="Q70" s="128">
        <v>1.79</v>
      </c>
      <c r="R70" s="128">
        <v>16.7</v>
      </c>
      <c r="S70" s="128">
        <v>3.23</v>
      </c>
      <c r="T70" s="40">
        <v>4.41</v>
      </c>
      <c r="U70" s="132">
        <v>2.125</v>
      </c>
      <c r="V70" s="40">
        <v>2.58</v>
      </c>
      <c r="W70" s="84" t="s">
        <v>127</v>
      </c>
      <c r="X70" s="35">
        <f t="shared" si="18"/>
        <v>20.41340782122905</v>
      </c>
      <c r="Y70" s="36">
        <f t="shared" si="19"/>
        <v>4.6275928283088374</v>
      </c>
      <c r="Z70" s="34">
        <v>0.8</v>
      </c>
      <c r="AA70" s="40">
        <v>50400</v>
      </c>
      <c r="AB70" s="128">
        <v>2340</v>
      </c>
      <c r="AC70" s="40">
        <v>17</v>
      </c>
      <c r="AD70" s="40">
        <v>2520</v>
      </c>
      <c r="AE70" s="128">
        <v>302</v>
      </c>
      <c r="AF70" s="40">
        <v>3.8</v>
      </c>
      <c r="AG70" s="41">
        <v>2760</v>
      </c>
      <c r="AH70" s="40">
        <v>481</v>
      </c>
      <c r="AI70" s="41">
        <v>445</v>
      </c>
      <c r="AJ70" s="40">
        <v>996000</v>
      </c>
      <c r="AK70" s="40">
        <v>166</v>
      </c>
      <c r="AL70" s="40">
        <v>2240</v>
      </c>
      <c r="AM70" s="40">
        <v>478</v>
      </c>
      <c r="AN70" s="40">
        <v>1370</v>
      </c>
      <c r="AO70" s="134" t="s">
        <v>260</v>
      </c>
      <c r="AP70" s="39" t="s">
        <v>69</v>
      </c>
      <c r="AQ70" s="40">
        <f t="shared" si="20"/>
        <v>161.06836908592575</v>
      </c>
      <c r="AR70" s="41">
        <f t="shared" si="30"/>
        <v>39.770000000000003</v>
      </c>
      <c r="AS70" s="37">
        <f t="shared" si="21"/>
        <v>766.19483506722042</v>
      </c>
      <c r="AT70" s="42">
        <f t="shared" si="22"/>
        <v>138000</v>
      </c>
      <c r="AU70" s="31">
        <f t="shared" si="23"/>
        <v>81900</v>
      </c>
      <c r="AV70" s="31">
        <f t="shared" si="24"/>
        <v>92.707893562424573</v>
      </c>
      <c r="AW70" s="37">
        <f t="shared" si="25"/>
        <v>25259.620182864834</v>
      </c>
      <c r="AX70" s="31">
        <f t="shared" si="26"/>
        <v>161.06836908592575</v>
      </c>
      <c r="AY70" s="42">
        <f t="shared" si="27"/>
        <v>151486.06607791749</v>
      </c>
      <c r="AZ70" s="42">
        <f t="shared" si="31"/>
        <v>59107511.227903709</v>
      </c>
      <c r="BA70" s="42">
        <f t="shared" si="28"/>
        <v>154575.03570175209</v>
      </c>
      <c r="BB70" s="42">
        <f t="shared" si="29"/>
        <v>24050</v>
      </c>
      <c r="BC70" s="38">
        <f t="shared" si="32"/>
        <v>38.590000000000003</v>
      </c>
      <c r="BD70" s="38">
        <f t="shared" si="33"/>
        <v>21.558659217877096</v>
      </c>
      <c r="BE70" s="38">
        <f t="shared" si="34"/>
        <v>76.97</v>
      </c>
      <c r="BH70" s="34">
        <v>24</v>
      </c>
      <c r="BI70" s="43">
        <v>4.38</v>
      </c>
    </row>
    <row r="71" spans="1:61">
      <c r="A71" s="19"/>
      <c r="B71" s="19"/>
      <c r="C71" s="19"/>
      <c r="D71" s="19"/>
      <c r="N71" s="123" t="s">
        <v>261</v>
      </c>
      <c r="O71" s="80">
        <v>156</v>
      </c>
      <c r="P71" s="124">
        <v>42.34</v>
      </c>
      <c r="Q71" s="124">
        <v>1.61</v>
      </c>
      <c r="R71" s="124">
        <v>16.510000000000002</v>
      </c>
      <c r="S71" s="124">
        <v>2.91</v>
      </c>
      <c r="T71" s="80">
        <v>4.3125</v>
      </c>
      <c r="U71" s="80">
        <v>2</v>
      </c>
      <c r="V71" s="80">
        <v>2.8</v>
      </c>
      <c r="W71" s="125" t="s">
        <v>127</v>
      </c>
      <c r="X71" s="35">
        <f t="shared" si="18"/>
        <v>22.683229813664596</v>
      </c>
      <c r="Y71" s="36">
        <f t="shared" si="19"/>
        <v>4.555505633730176</v>
      </c>
      <c r="Z71" s="80">
        <v>0.88</v>
      </c>
      <c r="AA71" s="80">
        <v>44300</v>
      </c>
      <c r="AB71" s="124">
        <v>2090</v>
      </c>
      <c r="AC71" s="80">
        <v>16.899999999999999</v>
      </c>
      <c r="AD71" s="80">
        <v>2200</v>
      </c>
      <c r="AE71" s="124">
        <v>266</v>
      </c>
      <c r="AF71" s="80">
        <v>3.75</v>
      </c>
      <c r="AG71" s="81">
        <v>2450</v>
      </c>
      <c r="AH71" s="80">
        <v>422</v>
      </c>
      <c r="AI71" s="81">
        <v>329</v>
      </c>
      <c r="AJ71" s="80">
        <v>848000</v>
      </c>
      <c r="AK71" s="80">
        <v>163</v>
      </c>
      <c r="AL71" s="80">
        <v>1950</v>
      </c>
      <c r="AM71" s="80">
        <v>433</v>
      </c>
      <c r="AN71" s="80">
        <v>1230</v>
      </c>
      <c r="AO71" s="125" t="s">
        <v>258</v>
      </c>
      <c r="AP71" s="126" t="s">
        <v>69</v>
      </c>
      <c r="AQ71" s="40">
        <f t="shared" si="20"/>
        <v>158.94904844005831</v>
      </c>
      <c r="AR71" s="41">
        <f t="shared" si="30"/>
        <v>39.430000000000007</v>
      </c>
      <c r="AS71" s="37">
        <f t="shared" si="21"/>
        <v>700.98618380869425</v>
      </c>
      <c r="AT71" s="42">
        <f t="shared" si="22"/>
        <v>122500</v>
      </c>
      <c r="AU71" s="31">
        <f t="shared" si="23"/>
        <v>73150</v>
      </c>
      <c r="AV71" s="31">
        <f t="shared" si="24"/>
        <v>91.045422499396437</v>
      </c>
      <c r="AW71" s="37">
        <f t="shared" si="25"/>
        <v>24471.622707415667</v>
      </c>
      <c r="AX71" s="31">
        <f t="shared" si="26"/>
        <v>158.94904844005831</v>
      </c>
      <c r="AY71" s="42">
        <f t="shared" si="27"/>
        <v>135551.27468011156</v>
      </c>
      <c r="AZ71" s="42">
        <f t="shared" si="31"/>
        <v>51145691.458498746</v>
      </c>
      <c r="BA71" s="42">
        <f t="shared" si="28"/>
        <v>137080.71322426855</v>
      </c>
      <c r="BB71" s="42">
        <f t="shared" si="29"/>
        <v>21100</v>
      </c>
      <c r="BC71" s="38">
        <f t="shared" si="32"/>
        <v>38.027500000000003</v>
      </c>
      <c r="BD71" s="38">
        <f t="shared" si="33"/>
        <v>23.619565217391305</v>
      </c>
      <c r="BE71" s="38">
        <f t="shared" si="34"/>
        <v>68.167400000000015</v>
      </c>
      <c r="BH71" s="80">
        <v>26.3</v>
      </c>
      <c r="BI71" s="81">
        <v>4.33</v>
      </c>
    </row>
    <row r="72" spans="1:61">
      <c r="A72" s="19"/>
      <c r="B72" s="19"/>
      <c r="C72" s="19"/>
      <c r="D72" s="19"/>
      <c r="N72" s="127" t="s">
        <v>262</v>
      </c>
      <c r="O72" s="40">
        <v>148</v>
      </c>
      <c r="P72" s="128">
        <v>42.1</v>
      </c>
      <c r="Q72" s="128">
        <v>1.54</v>
      </c>
      <c r="R72" s="128">
        <v>16.399999999999999</v>
      </c>
      <c r="S72" s="128">
        <v>2.76</v>
      </c>
      <c r="T72" s="40">
        <v>3.94</v>
      </c>
      <c r="U72" s="129">
        <v>2</v>
      </c>
      <c r="V72" s="40">
        <v>2.97</v>
      </c>
      <c r="W72" s="83" t="s">
        <v>127</v>
      </c>
      <c r="X72" s="35">
        <f t="shared" si="18"/>
        <v>23.753246753246753</v>
      </c>
      <c r="Y72" s="36">
        <f t="shared" si="19"/>
        <v>4.5128044540400865</v>
      </c>
      <c r="Z72" s="33">
        <v>0.93</v>
      </c>
      <c r="AA72" s="40">
        <v>41700</v>
      </c>
      <c r="AB72" s="128">
        <v>1980</v>
      </c>
      <c r="AC72" s="40">
        <v>16.8</v>
      </c>
      <c r="AD72" s="40">
        <v>2050</v>
      </c>
      <c r="AE72" s="128">
        <v>250</v>
      </c>
      <c r="AF72" s="40">
        <v>3.72</v>
      </c>
      <c r="AG72" s="41">
        <v>2320</v>
      </c>
      <c r="AH72" s="40">
        <v>395</v>
      </c>
      <c r="AI72" s="41">
        <v>279</v>
      </c>
      <c r="AJ72" s="40">
        <v>791000</v>
      </c>
      <c r="AK72" s="40">
        <v>161</v>
      </c>
      <c r="AL72" s="40">
        <v>1830</v>
      </c>
      <c r="AM72" s="40">
        <v>403</v>
      </c>
      <c r="AN72" s="40">
        <v>1150</v>
      </c>
      <c r="AO72" s="134" t="s">
        <v>260</v>
      </c>
      <c r="AP72" s="131" t="s">
        <v>69</v>
      </c>
      <c r="AQ72" s="40">
        <f t="shared" si="20"/>
        <v>157.67745605253785</v>
      </c>
      <c r="AR72" s="41">
        <f t="shared" si="30"/>
        <v>39.340000000000003</v>
      </c>
      <c r="AS72" s="37">
        <f t="shared" si="21"/>
        <v>666.0276316130504</v>
      </c>
      <c r="AT72" s="42">
        <f t="shared" si="22"/>
        <v>116000</v>
      </c>
      <c r="AU72" s="31">
        <f t="shared" si="23"/>
        <v>69300</v>
      </c>
      <c r="AV72" s="31">
        <f t="shared" si="24"/>
        <v>91.86580873805751</v>
      </c>
      <c r="AW72" s="37">
        <f t="shared" si="25"/>
        <v>24011.254941192816</v>
      </c>
      <c r="AX72" s="31">
        <f t="shared" si="26"/>
        <v>157.67745605253785</v>
      </c>
      <c r="AY72" s="42">
        <f t="shared" si="27"/>
        <v>129052.06040371221</v>
      </c>
      <c r="AZ72" s="42">
        <f t="shared" si="31"/>
        <v>47542284.783561774</v>
      </c>
      <c r="BA72" s="42">
        <f t="shared" si="28"/>
        <v>129797.75699236761</v>
      </c>
      <c r="BB72" s="42">
        <f t="shared" si="29"/>
        <v>19750</v>
      </c>
      <c r="BC72" s="38">
        <f t="shared" si="32"/>
        <v>38.160000000000004</v>
      </c>
      <c r="BD72" s="38">
        <f t="shared" si="33"/>
        <v>24.779220779220783</v>
      </c>
      <c r="BE72" s="38">
        <f t="shared" si="34"/>
        <v>64.834000000000003</v>
      </c>
      <c r="BH72" s="33">
        <v>27.31</v>
      </c>
      <c r="BI72" s="81">
        <v>4.3</v>
      </c>
    </row>
    <row r="73" spans="1:61">
      <c r="A73" s="19"/>
      <c r="B73" s="19"/>
      <c r="C73" s="19"/>
      <c r="D73" s="19"/>
      <c r="N73" s="123" t="s">
        <v>263</v>
      </c>
      <c r="O73" s="80">
        <v>140</v>
      </c>
      <c r="P73" s="124">
        <v>41.81</v>
      </c>
      <c r="Q73" s="124">
        <v>1.46</v>
      </c>
      <c r="R73" s="124">
        <v>16.36</v>
      </c>
      <c r="S73" s="124">
        <v>2.64</v>
      </c>
      <c r="T73" s="80">
        <v>4</v>
      </c>
      <c r="U73" s="80">
        <v>2</v>
      </c>
      <c r="V73" s="80">
        <v>3.1</v>
      </c>
      <c r="W73" s="125" t="s">
        <v>127</v>
      </c>
      <c r="X73" s="35">
        <f t="shared" si="18"/>
        <v>25.020547945205482</v>
      </c>
      <c r="Y73" s="36">
        <f t="shared" si="19"/>
        <v>4.4836504873954768</v>
      </c>
      <c r="Z73" s="80">
        <v>0.97</v>
      </c>
      <c r="AA73" s="80">
        <v>39500</v>
      </c>
      <c r="AB73" s="124">
        <v>1890</v>
      </c>
      <c r="AC73" s="80">
        <v>16.8</v>
      </c>
      <c r="AD73" s="80">
        <v>1940</v>
      </c>
      <c r="AE73" s="124">
        <v>237</v>
      </c>
      <c r="AF73" s="80">
        <v>3.72</v>
      </c>
      <c r="AG73" s="81">
        <v>2180</v>
      </c>
      <c r="AH73" s="80">
        <v>374</v>
      </c>
      <c r="AI73" s="81">
        <v>245</v>
      </c>
      <c r="AJ73" s="80">
        <v>739000</v>
      </c>
      <c r="AK73" s="80">
        <v>160</v>
      </c>
      <c r="AL73" s="80">
        <v>1730</v>
      </c>
      <c r="AM73" s="80">
        <v>391</v>
      </c>
      <c r="AN73" s="80">
        <v>1090</v>
      </c>
      <c r="AO73" s="125" t="s">
        <v>258</v>
      </c>
      <c r="AP73" s="126" t="s">
        <v>69</v>
      </c>
      <c r="AQ73" s="40">
        <f t="shared" si="20"/>
        <v>157.67745605253785</v>
      </c>
      <c r="AR73" s="41">
        <f t="shared" si="30"/>
        <v>39.17</v>
      </c>
      <c r="AS73" s="37">
        <f t="shared" si="21"/>
        <v>642.66285612042589</v>
      </c>
      <c r="AT73" s="42">
        <f t="shared" si="22"/>
        <v>109000</v>
      </c>
      <c r="AU73" s="31">
        <f t="shared" si="23"/>
        <v>66150</v>
      </c>
      <c r="AV73" s="31">
        <f t="shared" si="24"/>
        <v>88.353175155379688</v>
      </c>
      <c r="AW73" s="37">
        <f t="shared" si="25"/>
        <v>23699.49445174701</v>
      </c>
      <c r="AX73" s="31">
        <f t="shared" si="26"/>
        <v>157.67745605253785</v>
      </c>
      <c r="AY73" s="42">
        <f t="shared" si="27"/>
        <v>121552.99436024064</v>
      </c>
      <c r="AZ73" s="42">
        <f t="shared" si="31"/>
        <v>44792044.51380185</v>
      </c>
      <c r="BA73" s="42">
        <f t="shared" si="28"/>
        <v>121660.25454224736</v>
      </c>
      <c r="BB73" s="42">
        <f t="shared" si="29"/>
        <v>18700</v>
      </c>
      <c r="BC73" s="38">
        <f t="shared" si="32"/>
        <v>37.81</v>
      </c>
      <c r="BD73" s="38">
        <f t="shared" si="33"/>
        <v>25.897260273972606</v>
      </c>
      <c r="BE73" s="38">
        <f t="shared" si="34"/>
        <v>61.0426</v>
      </c>
      <c r="BH73" s="80">
        <v>28.6</v>
      </c>
      <c r="BI73" s="81">
        <v>4.28</v>
      </c>
    </row>
    <row r="74" spans="1:61">
      <c r="A74" s="19"/>
      <c r="B74" s="19"/>
      <c r="C74" s="19"/>
      <c r="D74" s="19"/>
      <c r="N74" s="123" t="s">
        <v>264</v>
      </c>
      <c r="O74" s="80">
        <v>137</v>
      </c>
      <c r="P74" s="124">
        <v>42.44</v>
      </c>
      <c r="Q74" s="124">
        <v>1.67</v>
      </c>
      <c r="R74" s="124">
        <v>12.64</v>
      </c>
      <c r="S74" s="124">
        <v>2.95</v>
      </c>
      <c r="T74" s="80">
        <v>4.125</v>
      </c>
      <c r="U74" s="80">
        <v>2</v>
      </c>
      <c r="V74" s="80">
        <v>2.1</v>
      </c>
      <c r="W74" s="125" t="s">
        <v>127</v>
      </c>
      <c r="X74" s="35">
        <f t="shared" si="18"/>
        <v>21.880239520958085</v>
      </c>
      <c r="Y74" s="36">
        <f t="shared" si="19"/>
        <v>3.4150038743738347</v>
      </c>
      <c r="Z74" s="80">
        <v>1.1399999999999999</v>
      </c>
      <c r="AA74" s="80">
        <v>36300</v>
      </c>
      <c r="AB74" s="124">
        <v>1710</v>
      </c>
      <c r="AC74" s="80">
        <v>16.3</v>
      </c>
      <c r="AD74" s="80">
        <v>1010</v>
      </c>
      <c r="AE74" s="124">
        <v>160</v>
      </c>
      <c r="AF74" s="80">
        <v>2.72</v>
      </c>
      <c r="AG74" s="81">
        <v>2050</v>
      </c>
      <c r="AH74" s="80">
        <v>262</v>
      </c>
      <c r="AI74" s="81">
        <v>277</v>
      </c>
      <c r="AJ74" s="80">
        <v>393000</v>
      </c>
      <c r="AK74" s="80">
        <v>125</v>
      </c>
      <c r="AL74" s="80">
        <v>1160</v>
      </c>
      <c r="AM74" s="80">
        <v>322</v>
      </c>
      <c r="AN74" s="80">
        <v>1030</v>
      </c>
      <c r="AO74" s="125" t="s">
        <v>265</v>
      </c>
      <c r="AP74" s="126" t="s">
        <v>69</v>
      </c>
      <c r="AQ74" s="40">
        <f t="shared" si="20"/>
        <v>115.29104313518897</v>
      </c>
      <c r="AR74" s="41">
        <f t="shared" si="30"/>
        <v>39.489999999999995</v>
      </c>
      <c r="AS74" s="37">
        <f t="shared" si="21"/>
        <v>531.14872361291077</v>
      </c>
      <c r="AT74" s="42">
        <f t="shared" si="22"/>
        <v>102500</v>
      </c>
      <c r="AU74" s="31">
        <f t="shared" si="23"/>
        <v>59850</v>
      </c>
      <c r="AV74" s="31">
        <f t="shared" si="24"/>
        <v>102.55912539839414</v>
      </c>
      <c r="AW74" s="37">
        <f t="shared" si="25"/>
        <v>13772.902707983822</v>
      </c>
      <c r="AX74" s="31">
        <f t="shared" si="26"/>
        <v>115.29104313518897</v>
      </c>
      <c r="AY74" s="42">
        <f t="shared" si="27"/>
        <v>112724.22619399856</v>
      </c>
      <c r="AZ74" s="42">
        <f t="shared" si="31"/>
        <v>23551663.630652335</v>
      </c>
      <c r="BA74" s="42">
        <f t="shared" si="28"/>
        <v>115101.16350587748</v>
      </c>
      <c r="BB74" s="42">
        <f t="shared" si="29"/>
        <v>13100</v>
      </c>
      <c r="BC74" s="38">
        <f t="shared" si="32"/>
        <v>38.314999999999998</v>
      </c>
      <c r="BD74" s="38">
        <f t="shared" si="33"/>
        <v>22.943113772455089</v>
      </c>
      <c r="BE74" s="38">
        <f t="shared" si="34"/>
        <v>70.874799999999993</v>
      </c>
      <c r="BH74" s="80">
        <v>25.41</v>
      </c>
      <c r="BI74" s="81">
        <v>3.22</v>
      </c>
    </row>
    <row r="75" spans="1:61">
      <c r="A75" s="19"/>
      <c r="B75" s="19"/>
      <c r="C75" s="19"/>
      <c r="D75" s="19"/>
      <c r="N75" s="123" t="s">
        <v>266</v>
      </c>
      <c r="O75" s="80">
        <v>128</v>
      </c>
      <c r="P75" s="124">
        <v>41.34</v>
      </c>
      <c r="Q75" s="124">
        <v>1.34</v>
      </c>
      <c r="R75" s="124">
        <v>16.239999999999998</v>
      </c>
      <c r="S75" s="124">
        <v>2.4</v>
      </c>
      <c r="T75" s="80">
        <v>3.8125</v>
      </c>
      <c r="U75" s="80">
        <v>1.9375</v>
      </c>
      <c r="V75" s="80">
        <v>3.4</v>
      </c>
      <c r="W75" s="125" t="s">
        <v>127</v>
      </c>
      <c r="X75" s="35">
        <f t="shared" si="18"/>
        <v>27.268656716417915</v>
      </c>
      <c r="Y75" s="36">
        <f t="shared" si="19"/>
        <v>4.4253654819825679</v>
      </c>
      <c r="Z75" s="80">
        <v>1.06</v>
      </c>
      <c r="AA75" s="80">
        <v>35400</v>
      </c>
      <c r="AB75" s="124">
        <v>1710</v>
      </c>
      <c r="AC75" s="80">
        <v>16.600000000000001</v>
      </c>
      <c r="AD75" s="80">
        <v>1720</v>
      </c>
      <c r="AE75" s="124">
        <v>212</v>
      </c>
      <c r="AF75" s="80">
        <v>3.67</v>
      </c>
      <c r="AG75" s="81">
        <v>1980</v>
      </c>
      <c r="AH75" s="80">
        <v>334</v>
      </c>
      <c r="AI75" s="81">
        <v>186</v>
      </c>
      <c r="AJ75" s="80">
        <v>649000</v>
      </c>
      <c r="AK75" s="80">
        <v>158</v>
      </c>
      <c r="AL75" s="80">
        <v>1540</v>
      </c>
      <c r="AM75" s="80">
        <v>354</v>
      </c>
      <c r="AN75" s="80">
        <v>992</v>
      </c>
      <c r="AO75" s="125" t="s">
        <v>258</v>
      </c>
      <c r="AP75" s="126" t="s">
        <v>69</v>
      </c>
      <c r="AQ75" s="40">
        <f t="shared" si="20"/>
        <v>155.5581354066704</v>
      </c>
      <c r="AR75" s="41">
        <f t="shared" si="30"/>
        <v>38.940000000000005</v>
      </c>
      <c r="AS75" s="37">
        <f t="shared" si="21"/>
        <v>597.98412122901402</v>
      </c>
      <c r="AT75" s="42">
        <f t="shared" si="22"/>
        <v>99000</v>
      </c>
      <c r="AU75" s="31">
        <f t="shared" si="23"/>
        <v>59850</v>
      </c>
      <c r="AV75" s="31">
        <f t="shared" si="24"/>
        <v>88.489377329930846</v>
      </c>
      <c r="AW75" s="37">
        <f t="shared" si="25"/>
        <v>23082.534841633988</v>
      </c>
      <c r="AX75" s="31">
        <f t="shared" si="26"/>
        <v>155.5581354066704</v>
      </c>
      <c r="AY75" s="42">
        <f t="shared" si="27"/>
        <v>111384.80825439442</v>
      </c>
      <c r="AZ75" s="42">
        <f t="shared" si="31"/>
        <v>39471134.579194121</v>
      </c>
      <c r="BA75" s="42">
        <f t="shared" si="28"/>
        <v>110567.07036940454</v>
      </c>
      <c r="BB75" s="42">
        <f t="shared" si="29"/>
        <v>16700</v>
      </c>
      <c r="BC75" s="38">
        <f t="shared" si="32"/>
        <v>37.527500000000003</v>
      </c>
      <c r="BD75" s="38">
        <f t="shared" si="33"/>
        <v>28.005597014925375</v>
      </c>
      <c r="BE75" s="38">
        <f t="shared" si="34"/>
        <v>55.395600000000009</v>
      </c>
      <c r="BH75" s="80">
        <v>30.9</v>
      </c>
      <c r="BI75" s="81">
        <v>4.24</v>
      </c>
    </row>
    <row r="76" spans="1:61">
      <c r="A76" s="19"/>
      <c r="B76" s="19"/>
      <c r="C76" s="19"/>
      <c r="D76" s="19"/>
      <c r="N76" s="127" t="s">
        <v>267</v>
      </c>
      <c r="O76" s="40">
        <v>127</v>
      </c>
      <c r="P76" s="128">
        <v>41.3</v>
      </c>
      <c r="Q76" s="128">
        <v>1.34</v>
      </c>
      <c r="R76" s="128">
        <v>16.2</v>
      </c>
      <c r="S76" s="128">
        <v>2.36</v>
      </c>
      <c r="T76" s="40">
        <v>3.54</v>
      </c>
      <c r="U76" s="132">
        <v>1.875</v>
      </c>
      <c r="V76" s="40">
        <v>3.44</v>
      </c>
      <c r="W76" s="83" t="s">
        <v>127</v>
      </c>
      <c r="X76" s="35">
        <f t="shared" si="18"/>
        <v>27.298507462686565</v>
      </c>
      <c r="Y76" s="36">
        <f t="shared" si="19"/>
        <v>4.4124822945820412</v>
      </c>
      <c r="Z76" s="33">
        <v>1.08</v>
      </c>
      <c r="AA76" s="40">
        <v>34800</v>
      </c>
      <c r="AB76" s="128">
        <v>1690</v>
      </c>
      <c r="AC76" s="40">
        <v>16.600000000000001</v>
      </c>
      <c r="AD76" s="40">
        <v>1690</v>
      </c>
      <c r="AE76" s="128">
        <v>208</v>
      </c>
      <c r="AF76" s="40">
        <v>3.65</v>
      </c>
      <c r="AG76" s="41">
        <v>1960</v>
      </c>
      <c r="AH76" s="40">
        <v>328</v>
      </c>
      <c r="AI76" s="41">
        <v>177</v>
      </c>
      <c r="AJ76" s="40">
        <v>639000</v>
      </c>
      <c r="AK76" s="40">
        <v>158</v>
      </c>
      <c r="AL76" s="40">
        <v>1510</v>
      </c>
      <c r="AM76" s="40">
        <v>342</v>
      </c>
      <c r="AN76" s="40">
        <v>968</v>
      </c>
      <c r="AO76" s="134" t="s">
        <v>260</v>
      </c>
      <c r="AP76" s="131" t="s">
        <v>69</v>
      </c>
      <c r="AQ76" s="40">
        <f t="shared" si="20"/>
        <v>154.71040714832341</v>
      </c>
      <c r="AR76" s="41">
        <f t="shared" si="30"/>
        <v>38.94</v>
      </c>
      <c r="AS76" s="37">
        <f t="shared" si="21"/>
        <v>588.86954676719608</v>
      </c>
      <c r="AT76" s="42">
        <f t="shared" si="22"/>
        <v>98000</v>
      </c>
      <c r="AU76" s="31">
        <f t="shared" si="23"/>
        <v>59150</v>
      </c>
      <c r="AV76" s="31">
        <f t="shared" si="24"/>
        <v>89.48331718665311</v>
      </c>
      <c r="AW76" s="37">
        <f t="shared" si="25"/>
        <v>22947.358263797509</v>
      </c>
      <c r="AX76" s="31">
        <f t="shared" si="26"/>
        <v>154.71040714832341</v>
      </c>
      <c r="AY76" s="42">
        <f t="shared" si="27"/>
        <v>110448.06068681789</v>
      </c>
      <c r="AZ76" s="42">
        <f t="shared" si="31"/>
        <v>38781035.465817787</v>
      </c>
      <c r="BA76" s="42">
        <f t="shared" si="28"/>
        <v>109478.4338148497</v>
      </c>
      <c r="BB76" s="42">
        <f t="shared" si="29"/>
        <v>16400</v>
      </c>
      <c r="BC76" s="38">
        <f t="shared" si="32"/>
        <v>37.76</v>
      </c>
      <c r="BD76" s="38">
        <f t="shared" si="33"/>
        <v>28.179104477611936</v>
      </c>
      <c r="BE76" s="38">
        <f t="shared" si="34"/>
        <v>55.341999999999999</v>
      </c>
      <c r="BH76" s="33">
        <v>30.79</v>
      </c>
      <c r="BI76" s="81">
        <v>4.2300000000000004</v>
      </c>
    </row>
    <row r="77" spans="1:61">
      <c r="A77" s="19"/>
      <c r="B77" s="19"/>
      <c r="C77" s="19"/>
      <c r="D77" s="19"/>
      <c r="N77" s="30" t="s">
        <v>268</v>
      </c>
      <c r="O77" s="40">
        <v>117</v>
      </c>
      <c r="P77" s="128">
        <v>41</v>
      </c>
      <c r="Q77" s="128">
        <v>1.22</v>
      </c>
      <c r="R77" s="128">
        <v>16.100000000000001</v>
      </c>
      <c r="S77" s="128">
        <v>2.2000000000000002</v>
      </c>
      <c r="T77" s="40">
        <v>3.38</v>
      </c>
      <c r="U77" s="132">
        <v>1.8125</v>
      </c>
      <c r="V77" s="40">
        <v>3.66</v>
      </c>
      <c r="W77" s="84" t="s">
        <v>127</v>
      </c>
      <c r="X77" s="35">
        <f t="shared" si="18"/>
        <v>30.000000000000004</v>
      </c>
      <c r="Y77" s="36">
        <f t="shared" si="19"/>
        <v>4.3762177792338042</v>
      </c>
      <c r="Z77" s="34">
        <v>1.1499999999999999</v>
      </c>
      <c r="AA77" s="40">
        <v>32000</v>
      </c>
      <c r="AB77" s="128">
        <v>1560</v>
      </c>
      <c r="AC77" s="40">
        <v>16.600000000000001</v>
      </c>
      <c r="AD77" s="40">
        <v>1540</v>
      </c>
      <c r="AE77" s="128">
        <v>191</v>
      </c>
      <c r="AF77" s="40">
        <v>3.64</v>
      </c>
      <c r="AG77" s="41">
        <v>1800</v>
      </c>
      <c r="AH77" s="40">
        <v>300</v>
      </c>
      <c r="AI77" s="41">
        <v>142</v>
      </c>
      <c r="AJ77" s="40">
        <v>578000</v>
      </c>
      <c r="AK77" s="40">
        <v>156</v>
      </c>
      <c r="AL77" s="40">
        <v>1380</v>
      </c>
      <c r="AM77" s="40">
        <v>318</v>
      </c>
      <c r="AN77" s="40">
        <v>891</v>
      </c>
      <c r="AO77" s="134" t="s">
        <v>260</v>
      </c>
      <c r="AP77" s="39" t="s">
        <v>69</v>
      </c>
      <c r="AQ77" s="40">
        <f t="shared" si="20"/>
        <v>154.28654301914995</v>
      </c>
      <c r="AR77" s="41">
        <f t="shared" si="30"/>
        <v>38.799999999999997</v>
      </c>
      <c r="AS77" s="37">
        <f t="shared" si="21"/>
        <v>559.61431010293836</v>
      </c>
      <c r="AT77" s="42">
        <f t="shared" si="22"/>
        <v>90000</v>
      </c>
      <c r="AU77" s="31">
        <f t="shared" si="23"/>
        <v>54600</v>
      </c>
      <c r="AV77" s="31">
        <f t="shared" si="24"/>
        <v>87.33672566943136</v>
      </c>
      <c r="AW77" s="37">
        <f t="shared" si="25"/>
        <v>22568.374526005471</v>
      </c>
      <c r="AX77" s="31">
        <f t="shared" si="26"/>
        <v>154.28654301914995</v>
      </c>
      <c r="AY77" s="42">
        <f t="shared" si="27"/>
        <v>102112.4285617053</v>
      </c>
      <c r="AZ77" s="42">
        <f t="shared" si="31"/>
        <v>35206664.260568537</v>
      </c>
      <c r="BA77" s="42">
        <f t="shared" si="28"/>
        <v>100459.11343746923</v>
      </c>
      <c r="BB77" s="42">
        <f t="shared" si="29"/>
        <v>15000</v>
      </c>
      <c r="BC77" s="38">
        <f t="shared" si="32"/>
        <v>37.619999999999997</v>
      </c>
      <c r="BD77" s="38">
        <f t="shared" si="33"/>
        <v>30.83606557377049</v>
      </c>
      <c r="BE77" s="38">
        <f t="shared" si="34"/>
        <v>50.019999999999996</v>
      </c>
      <c r="BH77" s="34">
        <v>33.6</v>
      </c>
      <c r="BI77" s="43">
        <v>4.21</v>
      </c>
    </row>
    <row r="78" spans="1:61">
      <c r="A78" s="19"/>
      <c r="B78" s="19"/>
      <c r="C78" s="19"/>
      <c r="D78" s="19"/>
      <c r="N78" s="127" t="s">
        <v>269</v>
      </c>
      <c r="O78" s="40">
        <v>115</v>
      </c>
      <c r="P78" s="128">
        <v>41.6</v>
      </c>
      <c r="Q78" s="128">
        <v>1.42</v>
      </c>
      <c r="R78" s="128">
        <v>12.4</v>
      </c>
      <c r="S78" s="128">
        <v>2.52</v>
      </c>
      <c r="T78" s="40">
        <v>3.7</v>
      </c>
      <c r="U78" s="132">
        <v>1.9375</v>
      </c>
      <c r="V78" s="40">
        <v>2.4500000000000002</v>
      </c>
      <c r="W78" s="83" t="s">
        <v>127</v>
      </c>
      <c r="X78" s="35">
        <f t="shared" si="18"/>
        <v>25.74647887323944</v>
      </c>
      <c r="Y78" s="36">
        <f t="shared" si="19"/>
        <v>3.3009489376373105</v>
      </c>
      <c r="Z78" s="33">
        <v>1.33</v>
      </c>
      <c r="AA78" s="40">
        <v>29900</v>
      </c>
      <c r="AB78" s="128">
        <v>1440</v>
      </c>
      <c r="AC78" s="40">
        <v>16.100000000000001</v>
      </c>
      <c r="AD78" s="40">
        <v>803</v>
      </c>
      <c r="AE78" s="128">
        <v>130</v>
      </c>
      <c r="AF78" s="40">
        <v>2.64</v>
      </c>
      <c r="AG78" s="41">
        <v>1710</v>
      </c>
      <c r="AH78" s="40">
        <v>212</v>
      </c>
      <c r="AI78" s="41">
        <v>172</v>
      </c>
      <c r="AJ78" s="40">
        <v>306000</v>
      </c>
      <c r="AK78" s="40">
        <v>121</v>
      </c>
      <c r="AL78" s="40">
        <v>940</v>
      </c>
      <c r="AM78" s="40">
        <v>269</v>
      </c>
      <c r="AN78" s="40">
        <v>845</v>
      </c>
      <c r="AO78" s="134" t="s">
        <v>260</v>
      </c>
      <c r="AP78" s="131" t="s">
        <v>69</v>
      </c>
      <c r="AQ78" s="40">
        <f t="shared" si="20"/>
        <v>111.90013010180104</v>
      </c>
      <c r="AR78" s="41">
        <f t="shared" si="30"/>
        <v>39.08</v>
      </c>
      <c r="AS78" s="37">
        <f t="shared" si="21"/>
        <v>459.93642341761966</v>
      </c>
      <c r="AT78" s="42">
        <f t="shared" si="22"/>
        <v>85500</v>
      </c>
      <c r="AU78" s="31">
        <f t="shared" si="23"/>
        <v>50400</v>
      </c>
      <c r="AV78" s="31">
        <f t="shared" si="24"/>
        <v>100.85155104254947</v>
      </c>
      <c r="AW78" s="37">
        <f t="shared" si="25"/>
        <v>12859.640429751149</v>
      </c>
      <c r="AX78" s="31">
        <f t="shared" si="26"/>
        <v>111.90013010180104</v>
      </c>
      <c r="AY78" s="42">
        <f t="shared" si="27"/>
        <v>95212.017486365949</v>
      </c>
      <c r="AZ78" s="42">
        <f t="shared" si="31"/>
        <v>18517882.218841653</v>
      </c>
      <c r="BA78" s="42">
        <f t="shared" si="28"/>
        <v>95870.476882914401</v>
      </c>
      <c r="BB78" s="42">
        <f t="shared" si="29"/>
        <v>10600</v>
      </c>
      <c r="BC78" s="38">
        <f t="shared" si="32"/>
        <v>37.9</v>
      </c>
      <c r="BD78" s="38">
        <f t="shared" si="33"/>
        <v>26.690140845070424</v>
      </c>
      <c r="BE78" s="38">
        <f t="shared" si="34"/>
        <v>59.071999999999996</v>
      </c>
      <c r="BH78" s="33">
        <v>29.27</v>
      </c>
      <c r="BI78" s="81">
        <v>3.14</v>
      </c>
    </row>
    <row r="79" spans="1:61">
      <c r="A79" s="19"/>
      <c r="B79" s="19"/>
      <c r="C79" s="19"/>
      <c r="D79" s="19"/>
      <c r="N79" s="127" t="s">
        <v>270</v>
      </c>
      <c r="O79" s="40">
        <v>109</v>
      </c>
      <c r="P79" s="128">
        <v>40.6</v>
      </c>
      <c r="Q79" s="128">
        <v>1.1599999999999999</v>
      </c>
      <c r="R79" s="128">
        <v>16.100000000000001</v>
      </c>
      <c r="S79" s="128">
        <v>2.0499999999999998</v>
      </c>
      <c r="T79" s="40">
        <v>3.23</v>
      </c>
      <c r="U79" s="132">
        <v>1.8125</v>
      </c>
      <c r="V79" s="40">
        <v>3.92</v>
      </c>
      <c r="W79" s="83" t="s">
        <v>127</v>
      </c>
      <c r="X79" s="35">
        <f t="shared" si="18"/>
        <v>31.465517241379313</v>
      </c>
      <c r="Y79" s="36">
        <f t="shared" si="19"/>
        <v>4.3297711034440587</v>
      </c>
      <c r="Z79" s="33">
        <v>1.23</v>
      </c>
      <c r="AA79" s="40">
        <v>29600</v>
      </c>
      <c r="AB79" s="128">
        <v>1460</v>
      </c>
      <c r="AC79" s="40">
        <v>16.5</v>
      </c>
      <c r="AD79" s="40">
        <v>1420</v>
      </c>
      <c r="AE79" s="128">
        <v>177</v>
      </c>
      <c r="AF79" s="40">
        <v>3.6</v>
      </c>
      <c r="AG79" s="41">
        <v>1680</v>
      </c>
      <c r="AH79" s="40">
        <v>278</v>
      </c>
      <c r="AI79" s="41">
        <v>116</v>
      </c>
      <c r="AJ79" s="40">
        <v>528000</v>
      </c>
      <c r="AK79" s="40">
        <v>155</v>
      </c>
      <c r="AL79" s="40">
        <v>1270</v>
      </c>
      <c r="AM79" s="40">
        <v>295</v>
      </c>
      <c r="AN79" s="40">
        <v>829</v>
      </c>
      <c r="AO79" s="134" t="s">
        <v>260</v>
      </c>
      <c r="AP79" s="131" t="s">
        <v>69</v>
      </c>
      <c r="AQ79" s="40">
        <f t="shared" si="20"/>
        <v>152.59108650245597</v>
      </c>
      <c r="AR79" s="41">
        <f t="shared" si="30"/>
        <v>38.550000000000004</v>
      </c>
      <c r="AS79" s="37">
        <f t="shared" si="21"/>
        <v>533.47509835054109</v>
      </c>
      <c r="AT79" s="42">
        <f t="shared" si="22"/>
        <v>84000</v>
      </c>
      <c r="AU79" s="31">
        <f t="shared" si="23"/>
        <v>51100</v>
      </c>
      <c r="AV79" s="31">
        <f t="shared" si="24"/>
        <v>86.378002164927054</v>
      </c>
      <c r="AW79" s="37">
        <f t="shared" si="25"/>
        <v>22089.233360203438</v>
      </c>
      <c r="AX79" s="31">
        <f t="shared" si="26"/>
        <v>152.59108650245597</v>
      </c>
      <c r="AY79" s="42">
        <f t="shared" si="27"/>
        <v>95833.016366484851</v>
      </c>
      <c r="AZ79" s="42">
        <f t="shared" si="31"/>
        <v>32250280.705897018</v>
      </c>
      <c r="BA79" s="42">
        <f t="shared" si="28"/>
        <v>93720.475482845693</v>
      </c>
      <c r="BB79" s="42">
        <f t="shared" si="29"/>
        <v>13900</v>
      </c>
      <c r="BC79" s="38">
        <f t="shared" si="32"/>
        <v>37.370000000000005</v>
      </c>
      <c r="BD79" s="38">
        <f t="shared" si="33"/>
        <v>32.215517241379317</v>
      </c>
      <c r="BE79" s="38">
        <f t="shared" si="34"/>
        <v>47.095999999999997</v>
      </c>
      <c r="BH79" s="33">
        <v>35.03</v>
      </c>
      <c r="BI79" s="81">
        <v>4.18</v>
      </c>
    </row>
    <row r="80" spans="1:61">
      <c r="A80" s="19"/>
      <c r="B80" s="19"/>
      <c r="C80" s="19"/>
      <c r="D80" s="19"/>
      <c r="N80" s="30" t="s">
        <v>271</v>
      </c>
      <c r="O80" s="40">
        <v>107</v>
      </c>
      <c r="P80" s="128">
        <v>40.6</v>
      </c>
      <c r="Q80" s="128">
        <v>1.1200000000000001</v>
      </c>
      <c r="R80" s="128">
        <v>16</v>
      </c>
      <c r="S80" s="128">
        <v>2.0099999999999998</v>
      </c>
      <c r="T80" s="40">
        <v>3.19</v>
      </c>
      <c r="U80" s="132">
        <v>1.75</v>
      </c>
      <c r="V80" s="40">
        <v>3.99</v>
      </c>
      <c r="W80" s="84" t="s">
        <v>127</v>
      </c>
      <c r="X80" s="35">
        <f t="shared" si="18"/>
        <v>32.660714285714278</v>
      </c>
      <c r="Y80" s="36">
        <f t="shared" si="19"/>
        <v>4.3302977811276948</v>
      </c>
      <c r="Z80" s="34">
        <v>1.26</v>
      </c>
      <c r="AA80" s="40">
        <v>28900</v>
      </c>
      <c r="AB80" s="128">
        <v>1420</v>
      </c>
      <c r="AC80" s="40">
        <v>16.5</v>
      </c>
      <c r="AD80" s="40">
        <v>1380</v>
      </c>
      <c r="AE80" s="128">
        <v>173</v>
      </c>
      <c r="AF80" s="40">
        <v>3.6</v>
      </c>
      <c r="AG80" s="41">
        <v>1640</v>
      </c>
      <c r="AH80" s="40">
        <v>270</v>
      </c>
      <c r="AI80" s="41">
        <v>109</v>
      </c>
      <c r="AJ80" s="40">
        <v>512000</v>
      </c>
      <c r="AK80" s="40">
        <v>154</v>
      </c>
      <c r="AL80" s="40">
        <v>1240</v>
      </c>
      <c r="AM80" s="40">
        <v>289</v>
      </c>
      <c r="AN80" s="40">
        <v>807</v>
      </c>
      <c r="AO80" s="134" t="s">
        <v>260</v>
      </c>
      <c r="AP80" s="39" t="s">
        <v>69</v>
      </c>
      <c r="AQ80" s="40">
        <f t="shared" si="20"/>
        <v>152.59108650245597</v>
      </c>
      <c r="AR80" s="41">
        <f t="shared" si="30"/>
        <v>38.590000000000003</v>
      </c>
      <c r="AS80" s="37">
        <f t="shared" si="21"/>
        <v>528.42999536092691</v>
      </c>
      <c r="AT80" s="42">
        <f t="shared" si="22"/>
        <v>82000</v>
      </c>
      <c r="AU80" s="31">
        <f t="shared" si="23"/>
        <v>49700</v>
      </c>
      <c r="AV80" s="31">
        <f t="shared" si="24"/>
        <v>85.941075388134323</v>
      </c>
      <c r="AW80" s="37">
        <f t="shared" si="25"/>
        <v>22093.799793631679</v>
      </c>
      <c r="AX80" s="31">
        <f t="shared" si="26"/>
        <v>152.59108650245597</v>
      </c>
      <c r="AY80" s="42">
        <f t="shared" si="27"/>
        <v>93773.161292609992</v>
      </c>
      <c r="AZ80" s="42">
        <f t="shared" si="31"/>
        <v>31373195.706956983</v>
      </c>
      <c r="BA80" s="42">
        <f t="shared" si="28"/>
        <v>91543.202373736043</v>
      </c>
      <c r="BB80" s="42">
        <f t="shared" si="29"/>
        <v>13500</v>
      </c>
      <c r="BC80" s="38">
        <f t="shared" si="32"/>
        <v>37.410000000000004</v>
      </c>
      <c r="BD80" s="38">
        <f t="shared" si="33"/>
        <v>33.401785714285715</v>
      </c>
      <c r="BE80" s="38">
        <f t="shared" si="34"/>
        <v>45.472000000000008</v>
      </c>
      <c r="BH80" s="34">
        <v>36.200000000000003</v>
      </c>
      <c r="BI80" s="43">
        <v>4.17</v>
      </c>
    </row>
    <row r="81" spans="1:61">
      <c r="A81" s="19"/>
      <c r="B81" s="19"/>
      <c r="C81" s="19"/>
      <c r="D81" s="19"/>
      <c r="N81" s="33" t="s">
        <v>272</v>
      </c>
      <c r="O81" s="40">
        <v>97.5</v>
      </c>
      <c r="P81" s="128">
        <v>40.799999999999997</v>
      </c>
      <c r="Q81" s="128">
        <v>1.22</v>
      </c>
      <c r="R81" s="128">
        <v>12.2</v>
      </c>
      <c r="S81" s="128">
        <v>2.13</v>
      </c>
      <c r="T81" s="40">
        <v>3.31</v>
      </c>
      <c r="U81" s="132">
        <v>1.8125</v>
      </c>
      <c r="V81" s="40">
        <v>2.86</v>
      </c>
      <c r="W81" s="83" t="s">
        <v>127</v>
      </c>
      <c r="X81" s="35">
        <f t="shared" si="18"/>
        <v>29.950819672131146</v>
      </c>
      <c r="Y81" s="36">
        <f t="shared" si="19"/>
        <v>3.2079111918623981</v>
      </c>
      <c r="Z81" s="33">
        <v>1.57</v>
      </c>
      <c r="AA81" s="40">
        <v>24700</v>
      </c>
      <c r="AB81" s="128">
        <v>1210</v>
      </c>
      <c r="AC81" s="40">
        <v>15.9</v>
      </c>
      <c r="AD81" s="40">
        <v>644</v>
      </c>
      <c r="AE81" s="128">
        <v>106</v>
      </c>
      <c r="AF81" s="40">
        <v>2.57</v>
      </c>
      <c r="AG81" s="41">
        <v>1430</v>
      </c>
      <c r="AH81" s="40">
        <v>172</v>
      </c>
      <c r="AI81" s="41">
        <v>106</v>
      </c>
      <c r="AJ81" s="40">
        <v>241000</v>
      </c>
      <c r="AK81" s="40">
        <v>118</v>
      </c>
      <c r="AL81" s="40">
        <v>760</v>
      </c>
      <c r="AM81" s="40">
        <v>225</v>
      </c>
      <c r="AN81" s="40">
        <v>704</v>
      </c>
      <c r="AO81" s="134" t="s">
        <v>260</v>
      </c>
      <c r="AP81" s="131" t="s">
        <v>69</v>
      </c>
      <c r="AQ81" s="40">
        <f t="shared" si="20"/>
        <v>108.93308119758663</v>
      </c>
      <c r="AR81" s="41">
        <f t="shared" si="30"/>
        <v>38.669999999999995</v>
      </c>
      <c r="AS81" s="37">
        <f t="shared" si="21"/>
        <v>405.99132544851801</v>
      </c>
      <c r="AT81" s="42">
        <f t="shared" si="22"/>
        <v>71500</v>
      </c>
      <c r="AU81" s="31">
        <f t="shared" si="23"/>
        <v>42350</v>
      </c>
      <c r="AV81" s="31">
        <f t="shared" si="24"/>
        <v>98.128904227200579</v>
      </c>
      <c r="AW81" s="37">
        <f t="shared" si="25"/>
        <v>12138.03171008091</v>
      </c>
      <c r="AX81" s="31">
        <f t="shared" si="26"/>
        <v>108.93308119758663</v>
      </c>
      <c r="AY81" s="42">
        <f t="shared" si="27"/>
        <v>80658.672986067511</v>
      </c>
      <c r="AZ81" s="42">
        <f t="shared" si="31"/>
        <v>14687018.369197901</v>
      </c>
      <c r="BA81" s="42">
        <f t="shared" si="28"/>
        <v>80112.518550910405</v>
      </c>
      <c r="BB81" s="42">
        <f t="shared" si="29"/>
        <v>8600</v>
      </c>
      <c r="BC81" s="38">
        <f t="shared" si="32"/>
        <v>37.489999999999995</v>
      </c>
      <c r="BD81" s="38">
        <f t="shared" si="33"/>
        <v>30.729508196721309</v>
      </c>
      <c r="BE81" s="38">
        <f t="shared" si="34"/>
        <v>49.775999999999996</v>
      </c>
      <c r="BH81" s="33">
        <v>33.43</v>
      </c>
      <c r="BI81" s="81">
        <v>3.08</v>
      </c>
    </row>
    <row r="82" spans="1:61">
      <c r="A82" s="19"/>
      <c r="B82" s="19"/>
      <c r="C82" s="19"/>
      <c r="D82" s="19"/>
      <c r="N82" s="80" t="s">
        <v>273</v>
      </c>
      <c r="O82" s="80">
        <v>96.4</v>
      </c>
      <c r="P82" s="124">
        <v>40</v>
      </c>
      <c r="Q82" s="124">
        <v>0.91</v>
      </c>
      <c r="R82" s="124">
        <v>17.91</v>
      </c>
      <c r="S82" s="124">
        <v>1.73</v>
      </c>
      <c r="T82" s="80">
        <v>3.125</v>
      </c>
      <c r="U82" s="80">
        <v>1.6875</v>
      </c>
      <c r="V82" s="80">
        <v>5.2</v>
      </c>
      <c r="W82" s="125" t="s">
        <v>127</v>
      </c>
      <c r="X82" s="35">
        <f t="shared" si="18"/>
        <v>40.153846153846153</v>
      </c>
      <c r="Y82" s="36">
        <f t="shared" si="19"/>
        <v>4.8687320976621802</v>
      </c>
      <c r="Z82" s="80">
        <v>1.29</v>
      </c>
      <c r="AA82" s="80">
        <v>26800</v>
      </c>
      <c r="AB82" s="124">
        <v>1340</v>
      </c>
      <c r="AC82" s="80">
        <v>16.7</v>
      </c>
      <c r="AD82" s="80">
        <v>1660</v>
      </c>
      <c r="AE82" s="124">
        <v>185</v>
      </c>
      <c r="AF82" s="80">
        <v>4.1500000000000004</v>
      </c>
      <c r="AG82" s="81">
        <v>1510</v>
      </c>
      <c r="AH82" s="80">
        <v>286</v>
      </c>
      <c r="AI82" s="81">
        <v>74.2</v>
      </c>
      <c r="AJ82" s="80">
        <v>607000</v>
      </c>
      <c r="AK82" s="80">
        <v>171</v>
      </c>
      <c r="AL82" s="80">
        <v>1330</v>
      </c>
      <c r="AM82" s="80">
        <v>287</v>
      </c>
      <c r="AN82" s="80">
        <v>755</v>
      </c>
      <c r="AO82" s="125" t="s">
        <v>258</v>
      </c>
      <c r="AP82" s="126" t="s">
        <v>69</v>
      </c>
      <c r="AQ82" s="40">
        <f t="shared" si="20"/>
        <v>175.90361360699785</v>
      </c>
      <c r="AR82" s="41">
        <f t="shared" si="30"/>
        <v>38.270000000000003</v>
      </c>
      <c r="AS82" s="37">
        <f t="shared" si="21"/>
        <v>550.78616212458633</v>
      </c>
      <c r="AT82" s="42">
        <f t="shared" si="22"/>
        <v>75500</v>
      </c>
      <c r="AU82" s="31">
        <f t="shared" si="23"/>
        <v>46900</v>
      </c>
      <c r="AV82" s="31">
        <f t="shared" si="24"/>
        <v>76.29056117200976</v>
      </c>
      <c r="AW82" s="37">
        <f t="shared" si="25"/>
        <v>27917.806405221512</v>
      </c>
      <c r="AX82" s="31">
        <f t="shared" si="26"/>
        <v>175.90361360699785</v>
      </c>
      <c r="AY82" s="42">
        <f t="shared" si="27"/>
        <v>87729.652639978885</v>
      </c>
      <c r="AZ82" s="42">
        <f t="shared" si="31"/>
        <v>37409860.582996823</v>
      </c>
      <c r="BA82" s="42">
        <f t="shared" si="28"/>
        <v>83950.018200893217</v>
      </c>
      <c r="BB82" s="42">
        <f t="shared" si="29"/>
        <v>14300</v>
      </c>
      <c r="BC82" s="38">
        <f t="shared" si="32"/>
        <v>36.875</v>
      </c>
      <c r="BD82" s="38">
        <f t="shared" si="33"/>
        <v>40.521978021978022</v>
      </c>
      <c r="BE82" s="38">
        <f t="shared" si="34"/>
        <v>36.4</v>
      </c>
      <c r="BH82" s="80">
        <v>44</v>
      </c>
      <c r="BI82" s="81">
        <v>4.7300000000000004</v>
      </c>
    </row>
    <row r="83" spans="1:61">
      <c r="A83" s="19"/>
      <c r="B83" s="19"/>
      <c r="C83" s="19"/>
      <c r="D83" s="19"/>
      <c r="N83" s="135" t="s">
        <v>274</v>
      </c>
      <c r="O83" s="136">
        <v>96</v>
      </c>
      <c r="P83" s="137">
        <v>40.799999999999997</v>
      </c>
      <c r="Q83" s="137">
        <v>1.18</v>
      </c>
      <c r="R83" s="137">
        <v>12.1</v>
      </c>
      <c r="S83" s="137">
        <v>2.13</v>
      </c>
      <c r="T83" s="136">
        <v>3.31</v>
      </c>
      <c r="U83" s="136">
        <v>1.8125</v>
      </c>
      <c r="V83" s="136">
        <v>2.85</v>
      </c>
      <c r="W83" s="136" t="s">
        <v>127</v>
      </c>
      <c r="X83" s="35">
        <f t="shared" si="18"/>
        <v>30.966101694915256</v>
      </c>
      <c r="Y83" s="36">
        <f t="shared" si="19"/>
        <v>3.2112302938282076</v>
      </c>
      <c r="Z83" s="136">
        <v>1.58</v>
      </c>
      <c r="AA83" s="136">
        <v>24500</v>
      </c>
      <c r="AB83" s="137">
        <v>1200</v>
      </c>
      <c r="AC83" s="136">
        <v>16</v>
      </c>
      <c r="AD83" s="136">
        <v>640</v>
      </c>
      <c r="AE83" s="137">
        <v>105</v>
      </c>
      <c r="AF83" s="136">
        <v>2.58</v>
      </c>
      <c r="AG83" s="138">
        <v>1410</v>
      </c>
      <c r="AH83" s="136">
        <v>170</v>
      </c>
      <c r="AI83" s="138">
        <v>103</v>
      </c>
      <c r="AJ83" s="136">
        <v>239000</v>
      </c>
      <c r="AK83" s="136">
        <v>117</v>
      </c>
      <c r="AL83" s="136">
        <v>757</v>
      </c>
      <c r="AM83" s="136">
        <v>225</v>
      </c>
      <c r="AN83" s="136">
        <v>696</v>
      </c>
      <c r="AO83" s="139" t="s">
        <v>260</v>
      </c>
      <c r="AP83" s="140" t="s">
        <v>69</v>
      </c>
      <c r="AQ83" s="40">
        <f t="shared" si="20"/>
        <v>109.35694532676011</v>
      </c>
      <c r="AR83" s="41">
        <f t="shared" si="30"/>
        <v>38.669999999999995</v>
      </c>
      <c r="AS83" s="37">
        <f t="shared" si="21"/>
        <v>404.00700194770525</v>
      </c>
      <c r="AT83" s="42">
        <f t="shared" si="22"/>
        <v>70500</v>
      </c>
      <c r="AU83" s="31">
        <f t="shared" si="23"/>
        <v>42000</v>
      </c>
      <c r="AV83" s="31">
        <f t="shared" si="24"/>
        <v>96.724909293549018</v>
      </c>
      <c r="AW83" s="37">
        <f t="shared" si="25"/>
        <v>12162.599640637824</v>
      </c>
      <c r="AX83" s="31">
        <f t="shared" si="26"/>
        <v>109.35694532676011</v>
      </c>
      <c r="AY83" s="42">
        <f t="shared" si="27"/>
        <v>79568.632032371112</v>
      </c>
      <c r="AZ83" s="42">
        <f t="shared" si="31"/>
        <v>14595119.568765389</v>
      </c>
      <c r="BA83" s="42">
        <f t="shared" si="28"/>
        <v>78920.472682708278</v>
      </c>
      <c r="BB83" s="42">
        <f t="shared" si="29"/>
        <v>8500</v>
      </c>
      <c r="BC83" s="38">
        <f t="shared" si="32"/>
        <v>37.489999999999995</v>
      </c>
      <c r="BD83" s="38">
        <f t="shared" si="33"/>
        <v>31.771186440677962</v>
      </c>
      <c r="BE83" s="38">
        <f t="shared" si="34"/>
        <v>48.143999999999991</v>
      </c>
      <c r="BH83" s="136">
        <v>34.58</v>
      </c>
      <c r="BI83" s="138">
        <v>3.09</v>
      </c>
    </row>
    <row r="84" spans="1:61">
      <c r="A84" s="19"/>
      <c r="B84" s="19"/>
      <c r="C84" s="19"/>
      <c r="D84" s="19"/>
      <c r="N84" s="34" t="s">
        <v>275</v>
      </c>
      <c r="O84" s="40">
        <v>95.3</v>
      </c>
      <c r="P84" s="128">
        <v>40.200000000000003</v>
      </c>
      <c r="Q84" s="128">
        <v>1</v>
      </c>
      <c r="R84" s="128">
        <v>15.9</v>
      </c>
      <c r="S84" s="128">
        <v>1.81</v>
      </c>
      <c r="T84" s="40">
        <v>2.99</v>
      </c>
      <c r="U84" s="132">
        <v>1.6875</v>
      </c>
      <c r="V84" s="40">
        <v>4.4000000000000004</v>
      </c>
      <c r="W84" s="84" t="s">
        <v>127</v>
      </c>
      <c r="X84" s="35">
        <f t="shared" si="18"/>
        <v>36.580000000000005</v>
      </c>
      <c r="Y84" s="36">
        <f t="shared" si="19"/>
        <v>4.2772928792637055</v>
      </c>
      <c r="Z84" s="34">
        <v>1.4</v>
      </c>
      <c r="AA84" s="40">
        <v>25600</v>
      </c>
      <c r="AB84" s="128">
        <v>1280</v>
      </c>
      <c r="AC84" s="40">
        <v>16.399999999999999</v>
      </c>
      <c r="AD84" s="40">
        <v>1220</v>
      </c>
      <c r="AE84" s="128">
        <v>153</v>
      </c>
      <c r="AF84" s="40">
        <v>3.58</v>
      </c>
      <c r="AG84" s="41">
        <v>1460</v>
      </c>
      <c r="AH84" s="40">
        <v>239</v>
      </c>
      <c r="AI84" s="41">
        <v>79.400000000000006</v>
      </c>
      <c r="AJ84" s="40">
        <v>449000</v>
      </c>
      <c r="AK84" s="40">
        <v>153</v>
      </c>
      <c r="AL84" s="40">
        <v>1100</v>
      </c>
      <c r="AM84" s="40">
        <v>259</v>
      </c>
      <c r="AN84" s="40">
        <v>719</v>
      </c>
      <c r="AO84" s="134" t="s">
        <v>260</v>
      </c>
      <c r="AP84" s="39" t="s">
        <v>69</v>
      </c>
      <c r="AQ84" s="40">
        <f t="shared" si="20"/>
        <v>151.74335824410898</v>
      </c>
      <c r="AR84" s="41">
        <f t="shared" si="30"/>
        <v>38.39</v>
      </c>
      <c r="AS84" s="37">
        <f t="shared" si="21"/>
        <v>495.72441550488514</v>
      </c>
      <c r="AT84" s="42">
        <f t="shared" si="22"/>
        <v>73000</v>
      </c>
      <c r="AU84" s="31">
        <f t="shared" si="23"/>
        <v>44800</v>
      </c>
      <c r="AV84" s="31">
        <f t="shared" si="24"/>
        <v>81.981258574425624</v>
      </c>
      <c r="AW84" s="37">
        <f t="shared" si="25"/>
        <v>21552.606431170258</v>
      </c>
      <c r="AX84" s="31">
        <f t="shared" si="26"/>
        <v>151.74335824410898</v>
      </c>
      <c r="AY84" s="42">
        <f t="shared" si="27"/>
        <v>84161.203855400963</v>
      </c>
      <c r="AZ84" s="42">
        <f t="shared" si="31"/>
        <v>27587336.231897928</v>
      </c>
      <c r="BA84" s="42">
        <f t="shared" si="28"/>
        <v>81331.83612815346</v>
      </c>
      <c r="BB84" s="42">
        <f t="shared" si="29"/>
        <v>11950</v>
      </c>
      <c r="BC84" s="38">
        <f t="shared" si="32"/>
        <v>37.21</v>
      </c>
      <c r="BD84" s="38">
        <f t="shared" si="33"/>
        <v>37.21</v>
      </c>
      <c r="BE84" s="38">
        <f t="shared" si="34"/>
        <v>40.200000000000003</v>
      </c>
      <c r="BH84" s="34">
        <v>40.200000000000003</v>
      </c>
      <c r="BI84" s="43">
        <v>4.1399999999999997</v>
      </c>
    </row>
    <row r="85" spans="1:61">
      <c r="A85" s="19"/>
      <c r="B85" s="19"/>
      <c r="C85" s="19"/>
      <c r="D85" s="19"/>
      <c r="N85" s="80" t="s">
        <v>276</v>
      </c>
      <c r="O85" s="80">
        <v>94.1</v>
      </c>
      <c r="P85" s="124">
        <v>40.08</v>
      </c>
      <c r="Q85" s="124">
        <v>1</v>
      </c>
      <c r="R85" s="124">
        <v>15.91</v>
      </c>
      <c r="S85" s="124">
        <v>1.77</v>
      </c>
      <c r="T85" s="80">
        <v>2.9375</v>
      </c>
      <c r="U85" s="80">
        <v>1.6875</v>
      </c>
      <c r="V85" s="80">
        <v>4.5</v>
      </c>
      <c r="W85" s="125" t="s">
        <v>127</v>
      </c>
      <c r="X85" s="35">
        <f t="shared" si="18"/>
        <v>36.54</v>
      </c>
      <c r="Y85" s="36">
        <f t="shared" si="19"/>
        <v>4.2703114640503674</v>
      </c>
      <c r="Z85" s="80">
        <v>1.42</v>
      </c>
      <c r="AA85" s="80">
        <v>25100</v>
      </c>
      <c r="AB85" s="124">
        <v>1250</v>
      </c>
      <c r="AC85" s="80">
        <v>16.3</v>
      </c>
      <c r="AD85" s="80">
        <v>1190</v>
      </c>
      <c r="AE85" s="124">
        <v>150</v>
      </c>
      <c r="AF85" s="80">
        <v>3.56</v>
      </c>
      <c r="AG85" s="81">
        <v>1420</v>
      </c>
      <c r="AH85" s="80">
        <v>234</v>
      </c>
      <c r="AI85" s="81">
        <v>79.400000000000006</v>
      </c>
      <c r="AJ85" s="80">
        <v>446000</v>
      </c>
      <c r="AK85" s="80">
        <v>152</v>
      </c>
      <c r="AL85" s="80">
        <v>1100</v>
      </c>
      <c r="AM85" s="80">
        <v>264</v>
      </c>
      <c r="AN85" s="80">
        <v>730</v>
      </c>
      <c r="AO85" s="125" t="s">
        <v>265</v>
      </c>
      <c r="AP85" s="126" t="s">
        <v>69</v>
      </c>
      <c r="AQ85" s="40">
        <f t="shared" si="20"/>
        <v>150.89562998576201</v>
      </c>
      <c r="AR85" s="41">
        <f t="shared" si="30"/>
        <v>38.309999999999995</v>
      </c>
      <c r="AS85" s="37">
        <f t="shared" si="21"/>
        <v>497.87710497846268</v>
      </c>
      <c r="AT85" s="42">
        <f t="shared" si="22"/>
        <v>71000</v>
      </c>
      <c r="AU85" s="31">
        <f t="shared" si="23"/>
        <v>43750</v>
      </c>
      <c r="AV85" s="31">
        <f t="shared" si="24"/>
        <v>78.534452021028642</v>
      </c>
      <c r="AW85" s="37">
        <f t="shared" si="25"/>
        <v>21482.837595574056</v>
      </c>
      <c r="AX85" s="31">
        <f t="shared" si="26"/>
        <v>150.89562998576201</v>
      </c>
      <c r="AY85" s="42">
        <f t="shared" si="27"/>
        <v>81625.368161771679</v>
      </c>
      <c r="AZ85" s="42">
        <f t="shared" si="31"/>
        <v>26853546.994467571</v>
      </c>
      <c r="BA85" s="42">
        <f t="shared" si="28"/>
        <v>79051.153705396515</v>
      </c>
      <c r="BB85" s="42">
        <f t="shared" si="29"/>
        <v>11700</v>
      </c>
      <c r="BC85" s="38">
        <f t="shared" si="32"/>
        <v>37.142499999999998</v>
      </c>
      <c r="BD85" s="38">
        <f t="shared" si="33"/>
        <v>37.142499999999998</v>
      </c>
      <c r="BE85" s="38">
        <f t="shared" si="34"/>
        <v>40.08</v>
      </c>
      <c r="BH85" s="80">
        <v>40.08</v>
      </c>
      <c r="BI85" s="81">
        <v>4.13</v>
      </c>
    </row>
    <row r="86" spans="1:61">
      <c r="A86" s="19"/>
      <c r="B86" s="19"/>
      <c r="C86" s="19"/>
      <c r="D86" s="19"/>
      <c r="N86" s="80" t="s">
        <v>277</v>
      </c>
      <c r="O86" s="80">
        <v>87.6</v>
      </c>
      <c r="P86" s="124">
        <v>39.69</v>
      </c>
      <c r="Q86" s="124">
        <v>0.83</v>
      </c>
      <c r="R86" s="124">
        <v>17.829999999999998</v>
      </c>
      <c r="S86" s="124">
        <v>1.575</v>
      </c>
      <c r="T86" s="80">
        <v>3</v>
      </c>
      <c r="U86" s="80">
        <v>1.625</v>
      </c>
      <c r="V86" s="80">
        <v>5.7</v>
      </c>
      <c r="W86" s="125" t="s">
        <v>127</v>
      </c>
      <c r="X86" s="35">
        <f t="shared" si="18"/>
        <v>44.024096385542173</v>
      </c>
      <c r="Y86" s="36">
        <f t="shared" si="19"/>
        <v>4.8244319295252733</v>
      </c>
      <c r="Z86" s="80">
        <v>1.41</v>
      </c>
      <c r="AA86" s="80">
        <v>24200</v>
      </c>
      <c r="AB86" s="124">
        <v>1220</v>
      </c>
      <c r="AC86" s="80">
        <v>16.600000000000001</v>
      </c>
      <c r="AD86" s="80">
        <v>1490</v>
      </c>
      <c r="AE86" s="124">
        <v>167</v>
      </c>
      <c r="AF86" s="80">
        <v>4.12</v>
      </c>
      <c r="AG86" s="81">
        <v>1370</v>
      </c>
      <c r="AH86" s="80">
        <v>257</v>
      </c>
      <c r="AI86" s="81">
        <v>56.3</v>
      </c>
      <c r="AJ86" s="80">
        <v>540000</v>
      </c>
      <c r="AK86" s="80">
        <v>170</v>
      </c>
      <c r="AL86" s="80">
        <v>1190</v>
      </c>
      <c r="AM86" s="80">
        <v>261</v>
      </c>
      <c r="AN86" s="80">
        <v>684</v>
      </c>
      <c r="AO86" s="125" t="s">
        <v>258</v>
      </c>
      <c r="AP86" s="126" t="s">
        <v>69</v>
      </c>
      <c r="AQ86" s="40">
        <f t="shared" si="20"/>
        <v>174.63202121947739</v>
      </c>
      <c r="AR86" s="41">
        <f t="shared" si="30"/>
        <v>38.114999999999995</v>
      </c>
      <c r="AS86" s="37">
        <f t="shared" si="21"/>
        <v>527.18869961535688</v>
      </c>
      <c r="AT86" s="42">
        <f t="shared" si="22"/>
        <v>68500</v>
      </c>
      <c r="AU86" s="31">
        <f t="shared" si="23"/>
        <v>42700</v>
      </c>
      <c r="AV86" s="31">
        <f t="shared" si="24"/>
        <v>73.179722810497012</v>
      </c>
      <c r="AW86" s="37">
        <f t="shared" si="25"/>
        <v>27409.73014458804</v>
      </c>
      <c r="AX86" s="31">
        <f t="shared" si="26"/>
        <v>174.63202121947739</v>
      </c>
      <c r="AY86" s="42">
        <f t="shared" si="27"/>
        <v>80137.919230834435</v>
      </c>
      <c r="AZ86" s="42">
        <f t="shared" si="31"/>
        <v>33439870.776397411</v>
      </c>
      <c r="BA86" s="42">
        <f t="shared" si="28"/>
        <v>76122.743691714859</v>
      </c>
      <c r="BB86" s="42">
        <f t="shared" si="29"/>
        <v>12850</v>
      </c>
      <c r="BC86" s="38">
        <f t="shared" si="32"/>
        <v>36.69</v>
      </c>
      <c r="BD86" s="38">
        <f t="shared" si="33"/>
        <v>44.204819277108435</v>
      </c>
      <c r="BE86" s="38">
        <f t="shared" si="34"/>
        <v>32.942699999999995</v>
      </c>
      <c r="BH86" s="80">
        <v>47.8</v>
      </c>
      <c r="BI86" s="81">
        <v>4.7</v>
      </c>
    </row>
    <row r="87" spans="1:61">
      <c r="A87" s="19"/>
      <c r="B87" s="19"/>
      <c r="C87" s="19"/>
      <c r="D87" s="19"/>
      <c r="N87" s="34" t="s">
        <v>278</v>
      </c>
      <c r="O87" s="40">
        <v>87.4</v>
      </c>
      <c r="P87" s="128">
        <v>39.799999999999997</v>
      </c>
      <c r="Q87" s="128">
        <v>0.93</v>
      </c>
      <c r="R87" s="128">
        <v>15.8</v>
      </c>
      <c r="S87" s="128">
        <v>1.65</v>
      </c>
      <c r="T87" s="40">
        <v>2.83</v>
      </c>
      <c r="U87" s="132">
        <v>1.6875</v>
      </c>
      <c r="V87" s="40">
        <v>4.8</v>
      </c>
      <c r="W87" s="84" t="s">
        <v>127</v>
      </c>
      <c r="X87" s="35">
        <f t="shared" si="18"/>
        <v>39.247311827956985</v>
      </c>
      <c r="Y87" s="36">
        <f t="shared" si="19"/>
        <v>4.2155339514380019</v>
      </c>
      <c r="Z87" s="34">
        <v>1.53</v>
      </c>
      <c r="AA87" s="40">
        <v>23200</v>
      </c>
      <c r="AB87" s="128">
        <v>1170</v>
      </c>
      <c r="AC87" s="40">
        <v>16.3</v>
      </c>
      <c r="AD87" s="40">
        <v>1090</v>
      </c>
      <c r="AE87" s="128">
        <v>138</v>
      </c>
      <c r="AF87" s="40">
        <v>3.54</v>
      </c>
      <c r="AG87" s="41">
        <v>1330</v>
      </c>
      <c r="AH87" s="40">
        <v>215</v>
      </c>
      <c r="AI87" s="41">
        <v>61.2</v>
      </c>
      <c r="AJ87" s="40">
        <v>397000</v>
      </c>
      <c r="AK87" s="40">
        <v>151</v>
      </c>
      <c r="AL87" s="40">
        <v>986</v>
      </c>
      <c r="AM87" s="40">
        <v>235</v>
      </c>
      <c r="AN87" s="40">
        <v>654</v>
      </c>
      <c r="AO87" s="134" t="s">
        <v>260</v>
      </c>
      <c r="AP87" s="39" t="s">
        <v>69</v>
      </c>
      <c r="AQ87" s="40">
        <f t="shared" si="20"/>
        <v>150.04790172741505</v>
      </c>
      <c r="AR87" s="41">
        <f t="shared" si="30"/>
        <v>38.15</v>
      </c>
      <c r="AS87" s="37">
        <f t="shared" si="21"/>
        <v>471.66598199309465</v>
      </c>
      <c r="AT87" s="42">
        <f t="shared" si="22"/>
        <v>66500</v>
      </c>
      <c r="AU87" s="31">
        <f t="shared" si="23"/>
        <v>40950</v>
      </c>
      <c r="AV87" s="31">
        <f t="shared" si="24"/>
        <v>79.442051202139709</v>
      </c>
      <c r="AW87" s="37">
        <f t="shared" si="25"/>
        <v>20932.498076702377</v>
      </c>
      <c r="AX87" s="31">
        <f t="shared" si="26"/>
        <v>150.04790172741505</v>
      </c>
      <c r="AY87" s="42">
        <f t="shared" si="27"/>
        <v>77180.817093049554</v>
      </c>
      <c r="AZ87" s="42">
        <f t="shared" si="31"/>
        <v>24491022.749741782</v>
      </c>
      <c r="BA87" s="42">
        <f t="shared" si="28"/>
        <v>74048.879896252503</v>
      </c>
      <c r="BB87" s="42">
        <f t="shared" si="29"/>
        <v>10750</v>
      </c>
      <c r="BC87" s="38">
        <f t="shared" si="32"/>
        <v>36.97</v>
      </c>
      <c r="BD87" s="38">
        <f t="shared" si="33"/>
        <v>39.752688172043008</v>
      </c>
      <c r="BE87" s="38">
        <f t="shared" si="34"/>
        <v>37.013999999999996</v>
      </c>
      <c r="BH87" s="34">
        <v>42.8</v>
      </c>
      <c r="BI87" s="43">
        <v>4.1100000000000003</v>
      </c>
    </row>
    <row r="88" spans="1:61">
      <c r="A88" s="19"/>
      <c r="B88" s="19"/>
      <c r="C88" s="19"/>
      <c r="D88" s="19"/>
      <c r="N88" s="33" t="s">
        <v>279</v>
      </c>
      <c r="O88" s="40">
        <v>81.8</v>
      </c>
      <c r="P88" s="128">
        <v>40.200000000000003</v>
      </c>
      <c r="Q88" s="128">
        <v>1.02</v>
      </c>
      <c r="R88" s="128">
        <v>12</v>
      </c>
      <c r="S88" s="128">
        <v>1.81</v>
      </c>
      <c r="T88" s="40">
        <v>2.99</v>
      </c>
      <c r="U88" s="132">
        <v>1.75</v>
      </c>
      <c r="V88" s="40">
        <v>3.31</v>
      </c>
      <c r="W88" s="83" t="s">
        <v>127</v>
      </c>
      <c r="X88" s="35">
        <f t="shared" si="18"/>
        <v>35.86274509803922</v>
      </c>
      <c r="Y88" s="36">
        <f t="shared" si="19"/>
        <v>3.1312146049034681</v>
      </c>
      <c r="Z88" s="33">
        <v>1.85</v>
      </c>
      <c r="AA88" s="40">
        <v>20500</v>
      </c>
      <c r="AB88" s="128">
        <v>1020</v>
      </c>
      <c r="AC88" s="40">
        <v>15.8</v>
      </c>
      <c r="AD88" s="40">
        <v>521</v>
      </c>
      <c r="AE88" s="128">
        <v>87.1</v>
      </c>
      <c r="AF88" s="40">
        <v>2.52</v>
      </c>
      <c r="AG88" s="41">
        <v>1190</v>
      </c>
      <c r="AH88" s="40">
        <v>140</v>
      </c>
      <c r="AI88" s="41">
        <v>64.7</v>
      </c>
      <c r="AJ88" s="40">
        <v>192000</v>
      </c>
      <c r="AK88" s="40">
        <v>115</v>
      </c>
      <c r="AL88" s="40">
        <v>622</v>
      </c>
      <c r="AM88" s="40">
        <v>190</v>
      </c>
      <c r="AN88" s="40">
        <v>586</v>
      </c>
      <c r="AO88" s="134" t="s">
        <v>260</v>
      </c>
      <c r="AP88" s="131" t="s">
        <v>69</v>
      </c>
      <c r="AQ88" s="40">
        <f t="shared" si="20"/>
        <v>106.81376055171918</v>
      </c>
      <c r="AR88" s="41">
        <f t="shared" si="30"/>
        <v>38.39</v>
      </c>
      <c r="AS88" s="37">
        <f t="shared" si="21"/>
        <v>364.77296940128525</v>
      </c>
      <c r="AT88" s="42">
        <f t="shared" si="22"/>
        <v>59500</v>
      </c>
      <c r="AU88" s="31">
        <f t="shared" si="23"/>
        <v>35700</v>
      </c>
      <c r="AV88" s="31">
        <f t="shared" si="24"/>
        <v>92.262649223270941</v>
      </c>
      <c r="AW88" s="37">
        <f t="shared" si="25"/>
        <v>11558.920586570541</v>
      </c>
      <c r="AX88" s="31">
        <f t="shared" si="26"/>
        <v>106.81376055171918</v>
      </c>
      <c r="AY88" s="42">
        <f t="shared" si="27"/>
        <v>67915.6231941187</v>
      </c>
      <c r="AZ88" s="42">
        <f t="shared" si="31"/>
        <v>11790098.998301951</v>
      </c>
      <c r="BA88" s="42">
        <f t="shared" si="28"/>
        <v>66531.833328016044</v>
      </c>
      <c r="BB88" s="42">
        <f t="shared" si="29"/>
        <v>7000</v>
      </c>
      <c r="BC88" s="38">
        <f t="shared" si="32"/>
        <v>37.21</v>
      </c>
      <c r="BD88" s="38">
        <f t="shared" si="33"/>
        <v>36.480392156862749</v>
      </c>
      <c r="BE88" s="38">
        <f t="shared" si="34"/>
        <v>41.004000000000005</v>
      </c>
      <c r="BH88" s="33">
        <v>39.369999999999997</v>
      </c>
      <c r="BI88" s="81">
        <v>3.02</v>
      </c>
    </row>
    <row r="89" spans="1:61">
      <c r="A89" s="19"/>
      <c r="B89" s="19"/>
      <c r="C89" s="19"/>
      <c r="D89" s="19"/>
      <c r="N89" s="34" t="s">
        <v>280</v>
      </c>
      <c r="O89" s="40">
        <v>81.400000000000006</v>
      </c>
      <c r="P89" s="128">
        <v>39.700000000000003</v>
      </c>
      <c r="Q89" s="128">
        <v>0.83</v>
      </c>
      <c r="R89" s="128">
        <v>15.8</v>
      </c>
      <c r="S89" s="128">
        <v>1.58</v>
      </c>
      <c r="T89" s="40">
        <v>2.76</v>
      </c>
      <c r="U89" s="129">
        <v>1.625</v>
      </c>
      <c r="V89" s="40">
        <v>5.03</v>
      </c>
      <c r="W89" s="84" t="s">
        <v>127</v>
      </c>
      <c r="X89" s="35">
        <f t="shared" si="18"/>
        <v>44.02409638554218</v>
      </c>
      <c r="Y89" s="36">
        <f t="shared" si="19"/>
        <v>4.2450398863100967</v>
      </c>
      <c r="Z89" s="34">
        <v>1.59</v>
      </c>
      <c r="AA89" s="40">
        <v>21900</v>
      </c>
      <c r="AB89" s="128">
        <v>1100</v>
      </c>
      <c r="AC89" s="40">
        <v>16.399999999999999</v>
      </c>
      <c r="AD89" s="40">
        <v>1040</v>
      </c>
      <c r="AE89" s="128">
        <v>132</v>
      </c>
      <c r="AF89" s="40">
        <v>3.58</v>
      </c>
      <c r="AG89" s="41">
        <v>1250</v>
      </c>
      <c r="AH89" s="40">
        <v>204</v>
      </c>
      <c r="AI89" s="41">
        <v>51.5</v>
      </c>
      <c r="AJ89" s="40">
        <v>378000</v>
      </c>
      <c r="AK89" s="40">
        <v>151</v>
      </c>
      <c r="AL89" s="40">
        <v>940</v>
      </c>
      <c r="AM89" s="40">
        <v>225</v>
      </c>
      <c r="AN89" s="40">
        <v>614</v>
      </c>
      <c r="AO89" s="134" t="s">
        <v>260</v>
      </c>
      <c r="AP89" s="39" t="s">
        <v>69</v>
      </c>
      <c r="AQ89" s="40">
        <f t="shared" si="20"/>
        <v>151.74335824410898</v>
      </c>
      <c r="AR89" s="41">
        <f t="shared" si="30"/>
        <v>38.120000000000005</v>
      </c>
      <c r="AS89" s="37">
        <f t="shared" si="21"/>
        <v>465.07843749716102</v>
      </c>
      <c r="AT89" s="42">
        <f t="shared" si="22"/>
        <v>62500</v>
      </c>
      <c r="AU89" s="31">
        <f t="shared" si="23"/>
        <v>38500</v>
      </c>
      <c r="AV89" s="31">
        <f t="shared" si="24"/>
        <v>76.595317885289816</v>
      </c>
      <c r="AW89" s="37">
        <f t="shared" si="25"/>
        <v>21224.740077605333</v>
      </c>
      <c r="AX89" s="31">
        <f t="shared" si="26"/>
        <v>151.74335824410898</v>
      </c>
      <c r="AY89" s="42">
        <f t="shared" si="27"/>
        <v>72927.943802678419</v>
      </c>
      <c r="AZ89" s="42">
        <f t="shared" si="31"/>
        <v>23347214.085365865</v>
      </c>
      <c r="BA89" s="42">
        <f t="shared" si="28"/>
        <v>69590.924364385923</v>
      </c>
      <c r="BB89" s="42">
        <f t="shared" si="29"/>
        <v>10200</v>
      </c>
      <c r="BC89" s="38">
        <f t="shared" si="32"/>
        <v>36.940000000000005</v>
      </c>
      <c r="BD89" s="38">
        <f t="shared" si="33"/>
        <v>44.506024096385552</v>
      </c>
      <c r="BE89" s="38">
        <f t="shared" si="34"/>
        <v>32.951000000000001</v>
      </c>
      <c r="BH89" s="34">
        <v>47.8</v>
      </c>
      <c r="BI89" s="43">
        <v>4.13</v>
      </c>
    </row>
    <row r="90" spans="1:61">
      <c r="A90" s="19"/>
      <c r="B90" s="19"/>
      <c r="C90" s="19"/>
      <c r="D90" s="19"/>
      <c r="N90" s="80" t="s">
        <v>281</v>
      </c>
      <c r="O90" s="80">
        <v>78.8</v>
      </c>
      <c r="P90" s="124">
        <v>39.369999999999997</v>
      </c>
      <c r="Q90" s="124">
        <v>0.75</v>
      </c>
      <c r="R90" s="124">
        <v>17.75</v>
      </c>
      <c r="S90" s="124">
        <v>1.415</v>
      </c>
      <c r="T90" s="80">
        <v>2.8125</v>
      </c>
      <c r="U90" s="80">
        <v>1.5625</v>
      </c>
      <c r="V90" s="80">
        <v>6.3</v>
      </c>
      <c r="W90" s="125" t="s">
        <v>127</v>
      </c>
      <c r="X90" s="35">
        <f t="shared" si="18"/>
        <v>48.72</v>
      </c>
      <c r="Y90" s="36">
        <f t="shared" si="19"/>
        <v>4.7939468713685791</v>
      </c>
      <c r="Z90" s="80">
        <v>1.57</v>
      </c>
      <c r="AA90" s="80">
        <v>21500</v>
      </c>
      <c r="AB90" s="124">
        <v>1090</v>
      </c>
      <c r="AC90" s="80">
        <v>16.5</v>
      </c>
      <c r="AD90" s="80">
        <v>1320</v>
      </c>
      <c r="AE90" s="124">
        <v>149</v>
      </c>
      <c r="AF90" s="80">
        <v>4.09</v>
      </c>
      <c r="AG90" s="81">
        <v>1220</v>
      </c>
      <c r="AH90" s="80">
        <v>229</v>
      </c>
      <c r="AI90" s="81">
        <v>41.1</v>
      </c>
      <c r="AJ90" s="80">
        <v>475000</v>
      </c>
      <c r="AK90" s="80">
        <v>168</v>
      </c>
      <c r="AL90" s="80">
        <v>1060</v>
      </c>
      <c r="AM90" s="80">
        <v>234</v>
      </c>
      <c r="AN90" s="80">
        <v>612</v>
      </c>
      <c r="AO90" s="125" t="s">
        <v>258</v>
      </c>
      <c r="AP90" s="126" t="s">
        <v>69</v>
      </c>
      <c r="AQ90" s="40">
        <f t="shared" si="20"/>
        <v>173.36042883195691</v>
      </c>
      <c r="AR90" s="41">
        <f t="shared" si="30"/>
        <v>37.954999999999998</v>
      </c>
      <c r="AS90" s="37">
        <f t="shared" si="21"/>
        <v>507.02279979122517</v>
      </c>
      <c r="AT90" s="42">
        <f t="shared" si="22"/>
        <v>61000</v>
      </c>
      <c r="AU90" s="31">
        <f t="shared" si="23"/>
        <v>38150</v>
      </c>
      <c r="AV90" s="31">
        <f t="shared" si="24"/>
        <v>68.482400140917917</v>
      </c>
      <c r="AW90" s="37">
        <f t="shared" si="25"/>
        <v>27062.170303970586</v>
      </c>
      <c r="AX90" s="31">
        <f t="shared" si="26"/>
        <v>173.36042883195691</v>
      </c>
      <c r="AY90" s="42">
        <f t="shared" si="27"/>
        <v>71803.812813672877</v>
      </c>
      <c r="AZ90" s="42">
        <f t="shared" si="31"/>
        <v>29497765.631327938</v>
      </c>
      <c r="BA90" s="42">
        <f t="shared" si="28"/>
        <v>67751.150905259099</v>
      </c>
      <c r="BB90" s="42">
        <f t="shared" si="29"/>
        <v>11450</v>
      </c>
      <c r="BC90" s="38">
        <f t="shared" si="32"/>
        <v>36.557499999999997</v>
      </c>
      <c r="BD90" s="38">
        <f t="shared" si="33"/>
        <v>48.743333333333332</v>
      </c>
      <c r="BE90" s="38">
        <f t="shared" si="34"/>
        <v>29.527499999999996</v>
      </c>
      <c r="BH90" s="80">
        <v>52.5</v>
      </c>
      <c r="BI90" s="81">
        <v>4.67</v>
      </c>
    </row>
    <row r="91" spans="1:61">
      <c r="A91" s="19"/>
      <c r="B91" s="19"/>
      <c r="C91" s="19"/>
      <c r="D91" s="19"/>
      <c r="N91" s="33" t="s">
        <v>282</v>
      </c>
      <c r="O91" s="40">
        <v>77.599999999999994</v>
      </c>
      <c r="P91" s="128">
        <v>40</v>
      </c>
      <c r="Q91" s="128">
        <v>0.96</v>
      </c>
      <c r="R91" s="128">
        <v>11.9</v>
      </c>
      <c r="S91" s="128">
        <v>1.73</v>
      </c>
      <c r="T91" s="40">
        <v>2.91</v>
      </c>
      <c r="U91" s="132">
        <v>1.6875</v>
      </c>
      <c r="V91" s="40">
        <v>3.45</v>
      </c>
      <c r="W91" s="83" t="s">
        <v>127</v>
      </c>
      <c r="X91" s="35">
        <f t="shared" si="18"/>
        <v>38.0625</v>
      </c>
      <c r="Y91" s="36">
        <f t="shared" si="19"/>
        <v>3.1169373848657993</v>
      </c>
      <c r="Z91" s="33">
        <v>1.94</v>
      </c>
      <c r="AA91" s="40">
        <v>19400</v>
      </c>
      <c r="AB91" s="128">
        <v>971</v>
      </c>
      <c r="AC91" s="40">
        <v>15.8</v>
      </c>
      <c r="AD91" s="40">
        <v>493</v>
      </c>
      <c r="AE91" s="128">
        <v>82.6</v>
      </c>
      <c r="AF91" s="40">
        <v>2.52</v>
      </c>
      <c r="AG91" s="41">
        <v>1130</v>
      </c>
      <c r="AH91" s="40">
        <v>132</v>
      </c>
      <c r="AI91" s="41">
        <v>56.1</v>
      </c>
      <c r="AJ91" s="40">
        <v>181000</v>
      </c>
      <c r="AK91" s="40">
        <v>114</v>
      </c>
      <c r="AL91" s="40">
        <v>589</v>
      </c>
      <c r="AM91" s="40">
        <v>182</v>
      </c>
      <c r="AN91" s="40">
        <v>555</v>
      </c>
      <c r="AO91" s="134" t="s">
        <v>260</v>
      </c>
      <c r="AP91" s="131" t="s">
        <v>69</v>
      </c>
      <c r="AQ91" s="40">
        <f t="shared" si="20"/>
        <v>106.81376055171918</v>
      </c>
      <c r="AR91" s="41">
        <f t="shared" si="30"/>
        <v>38.270000000000003</v>
      </c>
      <c r="AS91" s="37">
        <f t="shared" si="21"/>
        <v>355.81556680071878</v>
      </c>
      <c r="AT91" s="42">
        <f t="shared" si="22"/>
        <v>56500</v>
      </c>
      <c r="AU91" s="31">
        <f t="shared" si="23"/>
        <v>33985</v>
      </c>
      <c r="AV91" s="31">
        <f t="shared" si="24"/>
        <v>90.421030831741035</v>
      </c>
      <c r="AW91" s="37">
        <f t="shared" si="25"/>
        <v>11452.328787066768</v>
      </c>
      <c r="AX91" s="31">
        <f t="shared" si="26"/>
        <v>106.81376055171918</v>
      </c>
      <c r="AY91" s="42">
        <f t="shared" si="27"/>
        <v>64747.642255126048</v>
      </c>
      <c r="AZ91" s="42">
        <f t="shared" si="31"/>
        <v>11120211.252241831</v>
      </c>
      <c r="BA91" s="42">
        <f t="shared" si="28"/>
        <v>63152.173419339539</v>
      </c>
      <c r="BB91" s="42">
        <f t="shared" si="29"/>
        <v>6600</v>
      </c>
      <c r="BC91" s="38">
        <f t="shared" si="32"/>
        <v>37.090000000000003</v>
      </c>
      <c r="BD91" s="38">
        <f t="shared" si="33"/>
        <v>38.635416666666671</v>
      </c>
      <c r="BE91" s="38">
        <f t="shared" si="34"/>
        <v>38.4</v>
      </c>
      <c r="BH91" s="33">
        <v>41.67</v>
      </c>
      <c r="BI91" s="81">
        <v>3.01</v>
      </c>
    </row>
    <row r="92" spans="1:61">
      <c r="A92" s="19"/>
      <c r="B92" s="19"/>
      <c r="C92" s="19"/>
      <c r="D92" s="19"/>
      <c r="N92" s="34" t="s">
        <v>283</v>
      </c>
      <c r="O92" s="40">
        <v>73.3</v>
      </c>
      <c r="P92" s="128">
        <v>39.4</v>
      </c>
      <c r="Q92" s="128">
        <v>0.75</v>
      </c>
      <c r="R92" s="128">
        <v>15.8</v>
      </c>
      <c r="S92" s="128">
        <v>1.42</v>
      </c>
      <c r="T92" s="40">
        <v>2.6</v>
      </c>
      <c r="U92" s="132">
        <v>1.5625</v>
      </c>
      <c r="V92" s="40">
        <v>5.55</v>
      </c>
      <c r="W92" s="84" t="s">
        <v>127</v>
      </c>
      <c r="X92" s="35">
        <f t="shared" si="18"/>
        <v>48.74666666666667</v>
      </c>
      <c r="Y92" s="36">
        <f t="shared" si="19"/>
        <v>4.2081707316058852</v>
      </c>
      <c r="Z92" s="34">
        <v>1.76</v>
      </c>
      <c r="AA92" s="40">
        <v>19600</v>
      </c>
      <c r="AB92" s="128">
        <v>993</v>
      </c>
      <c r="AC92" s="40">
        <v>16.3</v>
      </c>
      <c r="AD92" s="40">
        <v>926</v>
      </c>
      <c r="AE92" s="128">
        <v>118</v>
      </c>
      <c r="AF92" s="40">
        <v>3.55</v>
      </c>
      <c r="AG92" s="41">
        <v>1120</v>
      </c>
      <c r="AH92" s="40">
        <v>182</v>
      </c>
      <c r="AI92" s="41">
        <v>38.1</v>
      </c>
      <c r="AJ92" s="40">
        <v>334000</v>
      </c>
      <c r="AK92" s="40">
        <v>149</v>
      </c>
      <c r="AL92" s="40">
        <v>836</v>
      </c>
      <c r="AM92" s="40">
        <v>202</v>
      </c>
      <c r="AN92" s="40">
        <v>550</v>
      </c>
      <c r="AO92" s="134" t="s">
        <v>260</v>
      </c>
      <c r="AP92" s="39" t="s">
        <v>69</v>
      </c>
      <c r="AQ92" s="40">
        <f t="shared" si="20"/>
        <v>150.47176585658852</v>
      </c>
      <c r="AR92" s="41">
        <f t="shared" si="30"/>
        <v>37.979999999999997</v>
      </c>
      <c r="AS92" s="37">
        <f t="shared" si="21"/>
        <v>446.20438337506732</v>
      </c>
      <c r="AT92" s="42">
        <f t="shared" si="22"/>
        <v>56000</v>
      </c>
      <c r="AU92" s="31">
        <f t="shared" si="23"/>
        <v>34755</v>
      </c>
      <c r="AV92" s="31">
        <f t="shared" si="24"/>
        <v>71.838541782333181</v>
      </c>
      <c r="AW92" s="37">
        <f t="shared" si="25"/>
        <v>20855.461357902277</v>
      </c>
      <c r="AX92" s="31">
        <f t="shared" si="26"/>
        <v>150.47176585658852</v>
      </c>
      <c r="AY92" s="42">
        <f t="shared" si="27"/>
        <v>65688.990986745586</v>
      </c>
      <c r="AZ92" s="42">
        <f t="shared" si="31"/>
        <v>20709473.128396962</v>
      </c>
      <c r="BA92" s="42">
        <f t="shared" si="28"/>
        <v>62276.945338390782</v>
      </c>
      <c r="BB92" s="42">
        <f t="shared" si="29"/>
        <v>9100</v>
      </c>
      <c r="BC92" s="38">
        <f t="shared" si="32"/>
        <v>36.799999999999997</v>
      </c>
      <c r="BD92" s="38">
        <f t="shared" si="33"/>
        <v>49.066666666666663</v>
      </c>
      <c r="BE92" s="38">
        <f t="shared" si="34"/>
        <v>29.549999999999997</v>
      </c>
      <c r="BH92" s="34">
        <v>52.5</v>
      </c>
      <c r="BI92" s="43">
        <v>4.0999999999999996</v>
      </c>
    </row>
    <row r="93" spans="1:61">
      <c r="A93" s="19"/>
      <c r="B93" s="19"/>
      <c r="C93" s="19"/>
      <c r="D93" s="19"/>
      <c r="N93" s="80" t="s">
        <v>284</v>
      </c>
      <c r="O93" s="80">
        <v>71.7</v>
      </c>
      <c r="P93" s="124">
        <v>39.06</v>
      </c>
      <c r="Q93" s="124">
        <v>0.71</v>
      </c>
      <c r="R93" s="124">
        <v>17.71</v>
      </c>
      <c r="S93" s="124">
        <v>1.26</v>
      </c>
      <c r="T93" s="80">
        <v>2.625</v>
      </c>
      <c r="U93" s="80">
        <v>1.5625</v>
      </c>
      <c r="V93" s="80">
        <v>7</v>
      </c>
      <c r="W93" s="125" t="s">
        <v>127</v>
      </c>
      <c r="X93" s="35">
        <f t="shared" si="18"/>
        <v>51.464788732394368</v>
      </c>
      <c r="Y93" s="36">
        <f t="shared" si="19"/>
        <v>4.7429339207930319</v>
      </c>
      <c r="Z93" s="80">
        <v>1.75</v>
      </c>
      <c r="AA93" s="80">
        <v>19200</v>
      </c>
      <c r="AB93" s="124">
        <v>983</v>
      </c>
      <c r="AC93" s="80">
        <v>16.399999999999999</v>
      </c>
      <c r="AD93" s="80">
        <v>1170</v>
      </c>
      <c r="AE93" s="124">
        <v>132</v>
      </c>
      <c r="AF93" s="80">
        <v>4.04</v>
      </c>
      <c r="AG93" s="81">
        <v>1100</v>
      </c>
      <c r="AH93" s="80">
        <v>203</v>
      </c>
      <c r="AI93" s="81">
        <v>30.4</v>
      </c>
      <c r="AJ93" s="80">
        <v>417000</v>
      </c>
      <c r="AK93" s="80">
        <v>167</v>
      </c>
      <c r="AL93" s="80">
        <v>934</v>
      </c>
      <c r="AM93" s="80">
        <v>208</v>
      </c>
      <c r="AN93" s="80">
        <v>550</v>
      </c>
      <c r="AO93" s="125" t="s">
        <v>258</v>
      </c>
      <c r="AP93" s="126" t="s">
        <v>69</v>
      </c>
      <c r="AQ93" s="40">
        <f t="shared" si="20"/>
        <v>171.24110818608949</v>
      </c>
      <c r="AR93" s="41">
        <f t="shared" si="30"/>
        <v>37.800000000000004</v>
      </c>
      <c r="AS93" s="37">
        <f t="shared" si="21"/>
        <v>488.34501318334333</v>
      </c>
      <c r="AT93" s="42">
        <f t="shared" si="22"/>
        <v>55000</v>
      </c>
      <c r="AU93" s="31">
        <f t="shared" si="23"/>
        <v>34405</v>
      </c>
      <c r="AV93" s="31">
        <f t="shared" si="24"/>
        <v>64.947166135271516</v>
      </c>
      <c r="AW93" s="37">
        <f t="shared" si="25"/>
        <v>26487.568311836734</v>
      </c>
      <c r="AX93" s="31">
        <f t="shared" si="26"/>
        <v>171.24110818608949</v>
      </c>
      <c r="AY93" s="42">
        <f t="shared" si="27"/>
        <v>65108.448910839725</v>
      </c>
      <c r="AZ93" s="42">
        <f t="shared" si="31"/>
        <v>26037279.650535509</v>
      </c>
      <c r="BA93" s="42">
        <f t="shared" si="28"/>
        <v>61084.89947018867</v>
      </c>
      <c r="BB93" s="42">
        <f t="shared" si="29"/>
        <v>10150</v>
      </c>
      <c r="BC93" s="38">
        <f t="shared" si="32"/>
        <v>36.435000000000002</v>
      </c>
      <c r="BD93" s="38">
        <f t="shared" si="33"/>
        <v>51.316901408450711</v>
      </c>
      <c r="BE93" s="38">
        <f t="shared" si="34"/>
        <v>27.732600000000001</v>
      </c>
      <c r="BH93" s="80">
        <v>55</v>
      </c>
      <c r="BI93" s="81">
        <v>4.63</v>
      </c>
    </row>
    <row r="94" spans="1:61">
      <c r="A94" s="19"/>
      <c r="B94" s="19"/>
      <c r="C94" s="19"/>
      <c r="D94" s="19"/>
      <c r="N94" s="33" t="s">
        <v>285</v>
      </c>
      <c r="O94" s="40">
        <v>69</v>
      </c>
      <c r="P94" s="128">
        <v>39.700000000000003</v>
      </c>
      <c r="Q94" s="128">
        <v>0.83</v>
      </c>
      <c r="R94" s="128">
        <v>11.9</v>
      </c>
      <c r="S94" s="128">
        <v>1.58</v>
      </c>
      <c r="T94" s="40">
        <v>2.76</v>
      </c>
      <c r="U94" s="132">
        <v>1.625</v>
      </c>
      <c r="V94" s="40">
        <v>3.77</v>
      </c>
      <c r="W94" s="83" t="s">
        <v>127</v>
      </c>
      <c r="X94" s="35">
        <f t="shared" si="18"/>
        <v>44.02409638554218</v>
      </c>
      <c r="Y94" s="36">
        <f t="shared" si="19"/>
        <v>3.1099177756700538</v>
      </c>
      <c r="Z94" s="33">
        <v>2.12</v>
      </c>
      <c r="AA94" s="40">
        <v>17400</v>
      </c>
      <c r="AB94" s="128">
        <v>875</v>
      </c>
      <c r="AC94" s="40">
        <v>15.9</v>
      </c>
      <c r="AD94" s="40">
        <v>444</v>
      </c>
      <c r="AE94" s="128">
        <v>74.599999999999994</v>
      </c>
      <c r="AF94" s="40">
        <v>2.54</v>
      </c>
      <c r="AG94" s="41">
        <v>1010</v>
      </c>
      <c r="AH94" s="40">
        <v>118</v>
      </c>
      <c r="AI94" s="41">
        <v>41.3</v>
      </c>
      <c r="AJ94" s="40">
        <v>161000</v>
      </c>
      <c r="AK94" s="40">
        <v>113</v>
      </c>
      <c r="AL94" s="40">
        <v>530</v>
      </c>
      <c r="AM94" s="40">
        <v>166</v>
      </c>
      <c r="AN94" s="40">
        <v>495</v>
      </c>
      <c r="AO94" s="134" t="s">
        <v>260</v>
      </c>
      <c r="AP94" s="131" t="s">
        <v>69</v>
      </c>
      <c r="AQ94" s="40">
        <f t="shared" si="20"/>
        <v>107.66148881006615</v>
      </c>
      <c r="AR94" s="41">
        <f t="shared" si="30"/>
        <v>38.120000000000005</v>
      </c>
      <c r="AS94" s="37">
        <f t="shared" si="21"/>
        <v>341.22311065108755</v>
      </c>
      <c r="AT94" s="42">
        <f t="shared" si="22"/>
        <v>50500</v>
      </c>
      <c r="AU94" s="31">
        <f t="shared" si="23"/>
        <v>30625</v>
      </c>
      <c r="AV94" s="31">
        <f t="shared" si="24"/>
        <v>85.095315931349091</v>
      </c>
      <c r="AW94" s="37">
        <f t="shared" si="25"/>
        <v>11397.850569267655</v>
      </c>
      <c r="AX94" s="31">
        <f t="shared" si="26"/>
        <v>107.66148881006615</v>
      </c>
      <c r="AY94" s="42">
        <f t="shared" si="27"/>
        <v>58334.00147540294</v>
      </c>
      <c r="AZ94" s="42">
        <f t="shared" si="31"/>
        <v>9973119.2481091991</v>
      </c>
      <c r="BA94" s="42">
        <f t="shared" si="28"/>
        <v>56372.171739257086</v>
      </c>
      <c r="BB94" s="42">
        <f t="shared" si="29"/>
        <v>5900</v>
      </c>
      <c r="BC94" s="38">
        <f t="shared" si="32"/>
        <v>36.940000000000005</v>
      </c>
      <c r="BD94" s="38">
        <f t="shared" si="33"/>
        <v>44.506024096385552</v>
      </c>
      <c r="BE94" s="38">
        <f t="shared" si="34"/>
        <v>32.951000000000001</v>
      </c>
      <c r="BH94" s="33">
        <v>47.82</v>
      </c>
      <c r="BI94" s="81">
        <v>3.01</v>
      </c>
    </row>
    <row r="95" spans="1:61">
      <c r="A95" s="19"/>
      <c r="B95" s="19"/>
      <c r="C95" s="19"/>
      <c r="D95" s="19"/>
      <c r="N95" s="80" t="s">
        <v>286</v>
      </c>
      <c r="O95" s="80">
        <v>64.8</v>
      </c>
      <c r="P95" s="124">
        <v>38.67</v>
      </c>
      <c r="Q95" s="124">
        <v>0.71</v>
      </c>
      <c r="R95" s="124">
        <v>17.71</v>
      </c>
      <c r="S95" s="124">
        <v>1.0649999999999999</v>
      </c>
      <c r="T95" s="80">
        <v>2.4375</v>
      </c>
      <c r="U95" s="80">
        <v>1.5625</v>
      </c>
      <c r="V95" s="80">
        <v>8.3000000000000007</v>
      </c>
      <c r="W95" s="80">
        <v>61.1</v>
      </c>
      <c r="X95" s="35">
        <f t="shared" si="18"/>
        <v>51.464788732394368</v>
      </c>
      <c r="Y95" s="36">
        <f t="shared" si="19"/>
        <v>4.6531025817580725</v>
      </c>
      <c r="Z95" s="80">
        <v>2.0499999999999998</v>
      </c>
      <c r="AA95" s="80">
        <v>16600</v>
      </c>
      <c r="AB95" s="124">
        <v>858</v>
      </c>
      <c r="AC95" s="80">
        <v>16</v>
      </c>
      <c r="AD95" s="80">
        <v>988</v>
      </c>
      <c r="AE95" s="124">
        <v>112</v>
      </c>
      <c r="AF95" s="80">
        <v>3.9</v>
      </c>
      <c r="AG95" s="81">
        <v>967</v>
      </c>
      <c r="AH95" s="80">
        <v>172</v>
      </c>
      <c r="AI95" s="81">
        <v>21.2</v>
      </c>
      <c r="AJ95" s="80">
        <v>349000</v>
      </c>
      <c r="AK95" s="80">
        <v>166</v>
      </c>
      <c r="AL95" s="80">
        <v>785</v>
      </c>
      <c r="AM95" s="80">
        <v>176</v>
      </c>
      <c r="AN95" s="80">
        <v>483</v>
      </c>
      <c r="AO95" s="125" t="s">
        <v>258</v>
      </c>
      <c r="AP95" s="126" t="s">
        <v>69</v>
      </c>
      <c r="AQ95" s="40">
        <f t="shared" si="20"/>
        <v>165.30701037766065</v>
      </c>
      <c r="AR95" s="41">
        <f t="shared" si="30"/>
        <v>37.605000000000004</v>
      </c>
      <c r="AS95" s="37">
        <f t="shared" si="21"/>
        <v>467.27426017491263</v>
      </c>
      <c r="AT95" s="42">
        <f t="shared" si="22"/>
        <v>48350</v>
      </c>
      <c r="AU95" s="31">
        <f t="shared" si="23"/>
        <v>30030</v>
      </c>
      <c r="AV95" s="31">
        <f t="shared" si="24"/>
        <v>60.668830849373521</v>
      </c>
      <c r="AW95" s="37">
        <f t="shared" si="25"/>
        <v>25492.262917259039</v>
      </c>
      <c r="AX95" s="31">
        <f t="shared" si="26"/>
        <v>165.30701037766065</v>
      </c>
      <c r="AY95" s="42">
        <f t="shared" si="27"/>
        <v>57432.549289567702</v>
      </c>
      <c r="AZ95" s="42">
        <f t="shared" si="31"/>
        <v>21872361.583008256</v>
      </c>
      <c r="BA95" s="42">
        <f t="shared" si="28"/>
        <v>53762.738931481254</v>
      </c>
      <c r="BB95" s="42">
        <f t="shared" si="29"/>
        <v>8600</v>
      </c>
      <c r="BC95" s="38">
        <f t="shared" si="32"/>
        <v>36.232500000000002</v>
      </c>
      <c r="BD95" s="38">
        <f t="shared" si="33"/>
        <v>51.031690140845072</v>
      </c>
      <c r="BE95" s="38">
        <f t="shared" si="34"/>
        <v>27.4557</v>
      </c>
      <c r="BH95" s="80">
        <v>54.5</v>
      </c>
      <c r="BI95" s="81">
        <v>4.5599999999999996</v>
      </c>
    </row>
    <row r="96" spans="1:61">
      <c r="A96" s="19"/>
      <c r="B96" s="19"/>
      <c r="C96" s="19"/>
      <c r="D96" s="19"/>
      <c r="N96" s="34" t="s">
        <v>287</v>
      </c>
      <c r="O96" s="40">
        <v>63.4</v>
      </c>
      <c r="P96" s="128">
        <v>39</v>
      </c>
      <c r="Q96" s="128">
        <v>0.65</v>
      </c>
      <c r="R96" s="128">
        <v>15.8</v>
      </c>
      <c r="S96" s="128">
        <v>1.22</v>
      </c>
      <c r="T96" s="40">
        <v>2.4</v>
      </c>
      <c r="U96" s="132">
        <v>1.5625</v>
      </c>
      <c r="V96" s="40">
        <v>6.45</v>
      </c>
      <c r="W96" s="84" t="s">
        <v>127</v>
      </c>
      <c r="X96" s="35">
        <f t="shared" si="18"/>
        <v>56.246153846153845</v>
      </c>
      <c r="Y96" s="36">
        <f t="shared" si="19"/>
        <v>4.1838483156962516</v>
      </c>
      <c r="Z96" s="34">
        <v>2.0299999999999998</v>
      </c>
      <c r="AA96" s="40">
        <v>16700</v>
      </c>
      <c r="AB96" s="128">
        <v>859</v>
      </c>
      <c r="AC96" s="40">
        <v>16.2</v>
      </c>
      <c r="AD96" s="40">
        <v>796</v>
      </c>
      <c r="AE96" s="128">
        <v>101</v>
      </c>
      <c r="AF96" s="40">
        <v>3.54</v>
      </c>
      <c r="AG96" s="41">
        <v>964</v>
      </c>
      <c r="AH96" s="40">
        <v>156</v>
      </c>
      <c r="AI96" s="41">
        <v>24.8</v>
      </c>
      <c r="AJ96" s="40">
        <v>284000</v>
      </c>
      <c r="AK96" s="40">
        <v>149</v>
      </c>
      <c r="AL96" s="40">
        <v>714</v>
      </c>
      <c r="AM96" s="40">
        <v>174</v>
      </c>
      <c r="AN96" s="40">
        <v>471</v>
      </c>
      <c r="AO96" s="134" t="s">
        <v>260</v>
      </c>
      <c r="AP96" s="39" t="s">
        <v>69</v>
      </c>
      <c r="AQ96" s="40">
        <f t="shared" si="20"/>
        <v>150.04790172741505</v>
      </c>
      <c r="AR96" s="41">
        <f t="shared" si="30"/>
        <v>37.78</v>
      </c>
      <c r="AS96" s="37">
        <f t="shared" si="21"/>
        <v>427.20360667516917</v>
      </c>
      <c r="AT96" s="42">
        <f t="shared" si="22"/>
        <v>48200</v>
      </c>
      <c r="AU96" s="31">
        <f t="shared" si="23"/>
        <v>30065</v>
      </c>
      <c r="AV96" s="31">
        <f t="shared" si="24"/>
        <v>65.432533685058303</v>
      </c>
      <c r="AW96" s="37">
        <f t="shared" si="25"/>
        <v>20612.459550980264</v>
      </c>
      <c r="AX96" s="31">
        <f t="shared" si="26"/>
        <v>150.04790172741505</v>
      </c>
      <c r="AY96" s="42">
        <f t="shared" si="27"/>
        <v>56997.266858664494</v>
      </c>
      <c r="AZ96" s="42">
        <f t="shared" si="31"/>
        <v>17706102.754292049</v>
      </c>
      <c r="BA96" s="42">
        <f t="shared" si="28"/>
        <v>53558.079722839109</v>
      </c>
      <c r="BB96" s="42">
        <f t="shared" si="29"/>
        <v>7800</v>
      </c>
      <c r="BC96" s="38">
        <f t="shared" si="32"/>
        <v>36.6</v>
      </c>
      <c r="BD96" s="38">
        <f t="shared" si="33"/>
        <v>56.307692307692307</v>
      </c>
      <c r="BE96" s="38">
        <f t="shared" si="34"/>
        <v>25.35</v>
      </c>
      <c r="BH96" s="34">
        <v>60</v>
      </c>
      <c r="BI96" s="43">
        <v>4.09</v>
      </c>
    </row>
    <row r="97" spans="1:61">
      <c r="A97" s="19"/>
      <c r="B97" s="19"/>
      <c r="C97" s="19"/>
      <c r="D97" s="19"/>
      <c r="N97" s="127" t="s">
        <v>288</v>
      </c>
      <c r="O97" s="40">
        <v>62</v>
      </c>
      <c r="P97" s="128">
        <v>39.4</v>
      </c>
      <c r="Q97" s="128">
        <v>0.75</v>
      </c>
      <c r="R97" s="128">
        <v>11.8</v>
      </c>
      <c r="S97" s="128">
        <v>1.42</v>
      </c>
      <c r="T97" s="40">
        <v>2.6</v>
      </c>
      <c r="U97" s="132">
        <v>1.5625</v>
      </c>
      <c r="V97" s="40">
        <v>4.17</v>
      </c>
      <c r="W97" s="83" t="s">
        <v>127</v>
      </c>
      <c r="X97" s="35">
        <f t="shared" si="18"/>
        <v>48.74666666666667</v>
      </c>
      <c r="Y97" s="36">
        <f t="shared" si="19"/>
        <v>3.0696122041667522</v>
      </c>
      <c r="Z97" s="33">
        <v>2.36</v>
      </c>
      <c r="AA97" s="40">
        <v>15500</v>
      </c>
      <c r="AB97" s="128">
        <v>786</v>
      </c>
      <c r="AC97" s="40">
        <v>15.8</v>
      </c>
      <c r="AD97" s="40">
        <v>390</v>
      </c>
      <c r="AE97" s="128">
        <v>66.099999999999994</v>
      </c>
      <c r="AF97" s="40">
        <v>2.5099999999999998</v>
      </c>
      <c r="AG97" s="41">
        <v>906</v>
      </c>
      <c r="AH97" s="40">
        <v>105</v>
      </c>
      <c r="AI97" s="41">
        <v>30.4</v>
      </c>
      <c r="AJ97" s="40">
        <v>140000</v>
      </c>
      <c r="AK97" s="40">
        <v>112</v>
      </c>
      <c r="AL97" s="40">
        <v>468</v>
      </c>
      <c r="AM97" s="40">
        <v>148</v>
      </c>
      <c r="AN97" s="40">
        <v>442</v>
      </c>
      <c r="AO97" s="134" t="s">
        <v>260</v>
      </c>
      <c r="AP97" s="131" t="s">
        <v>69</v>
      </c>
      <c r="AQ97" s="40">
        <f t="shared" si="20"/>
        <v>106.38989642254568</v>
      </c>
      <c r="AR97" s="41">
        <f t="shared" si="30"/>
        <v>37.979999999999997</v>
      </c>
      <c r="AS97" s="37">
        <f t="shared" si="21"/>
        <v>325.8805463658108</v>
      </c>
      <c r="AT97" s="42">
        <f t="shared" si="22"/>
        <v>45300</v>
      </c>
      <c r="AU97" s="31">
        <f t="shared" si="23"/>
        <v>27510</v>
      </c>
      <c r="AV97" s="31">
        <f t="shared" si="24"/>
        <v>81.051288538251796</v>
      </c>
      <c r="AW97" s="37">
        <f t="shared" si="25"/>
        <v>11102.227724679266</v>
      </c>
      <c r="AX97" s="31">
        <f t="shared" si="26"/>
        <v>106.38989642254568</v>
      </c>
      <c r="AY97" s="42">
        <f t="shared" si="27"/>
        <v>52658.638091301742</v>
      </c>
      <c r="AZ97" s="42">
        <f t="shared" si="31"/>
        <v>8726350.991597902</v>
      </c>
      <c r="BA97" s="42">
        <f t="shared" si="28"/>
        <v>50556.147685101067</v>
      </c>
      <c r="BB97" s="42">
        <f t="shared" si="29"/>
        <v>5250</v>
      </c>
      <c r="BC97" s="38">
        <f t="shared" si="32"/>
        <v>36.799999999999997</v>
      </c>
      <c r="BD97" s="38">
        <f t="shared" si="33"/>
        <v>49.066666666666663</v>
      </c>
      <c r="BE97" s="38">
        <f t="shared" si="34"/>
        <v>29.549999999999997</v>
      </c>
      <c r="BH97" s="33">
        <v>52.49</v>
      </c>
      <c r="BI97" s="81">
        <v>2.98</v>
      </c>
    </row>
    <row r="98" spans="1:61">
      <c r="A98" s="19"/>
      <c r="B98" s="19"/>
      <c r="C98" s="19"/>
      <c r="D98" s="19"/>
      <c r="N98" s="30" t="s">
        <v>289</v>
      </c>
      <c r="O98" s="40">
        <v>58.5</v>
      </c>
      <c r="P98" s="128">
        <v>38.700000000000003</v>
      </c>
      <c r="Q98" s="128">
        <v>0.65</v>
      </c>
      <c r="R98" s="128">
        <v>15.8</v>
      </c>
      <c r="S98" s="128">
        <v>1.07</v>
      </c>
      <c r="T98" s="40">
        <v>2.25</v>
      </c>
      <c r="U98" s="132">
        <v>1.5625</v>
      </c>
      <c r="V98" s="40">
        <v>7.39</v>
      </c>
      <c r="W98" s="84" t="s">
        <v>127</v>
      </c>
      <c r="X98" s="35">
        <f t="shared" si="18"/>
        <v>56.246153846153845</v>
      </c>
      <c r="Y98" s="36">
        <f t="shared" si="19"/>
        <v>4.1209671352572235</v>
      </c>
      <c r="Z98" s="34">
        <v>2.31</v>
      </c>
      <c r="AA98" s="40">
        <v>14900</v>
      </c>
      <c r="AB98" s="128">
        <v>770</v>
      </c>
      <c r="AC98" s="40">
        <v>16</v>
      </c>
      <c r="AD98" s="40">
        <v>695</v>
      </c>
      <c r="AE98" s="128">
        <v>88.2</v>
      </c>
      <c r="AF98" s="40">
        <v>3.45</v>
      </c>
      <c r="AG98" s="41">
        <v>869</v>
      </c>
      <c r="AH98" s="40">
        <v>137</v>
      </c>
      <c r="AI98" s="41">
        <v>18.3</v>
      </c>
      <c r="AJ98" s="40">
        <v>246000</v>
      </c>
      <c r="AK98" s="40">
        <v>148</v>
      </c>
      <c r="AL98" s="40">
        <v>621</v>
      </c>
      <c r="AM98" s="40">
        <v>151</v>
      </c>
      <c r="AN98" s="40">
        <v>424</v>
      </c>
      <c r="AO98" s="134" t="s">
        <v>260</v>
      </c>
      <c r="AP98" s="39" t="s">
        <v>69</v>
      </c>
      <c r="AQ98" s="40">
        <f t="shared" si="20"/>
        <v>146.23312456485365</v>
      </c>
      <c r="AR98" s="41">
        <f t="shared" si="30"/>
        <v>37.630000000000003</v>
      </c>
      <c r="AS98" s="37">
        <f t="shared" si="21"/>
        <v>412.19353559153558</v>
      </c>
      <c r="AT98" s="42">
        <f t="shared" si="22"/>
        <v>43450</v>
      </c>
      <c r="AU98" s="31">
        <f t="shared" si="23"/>
        <v>26950</v>
      </c>
      <c r="AV98" s="31">
        <f t="shared" si="24"/>
        <v>62.039308543348099</v>
      </c>
      <c r="AW98" s="37">
        <f t="shared" si="25"/>
        <v>19996.299142069638</v>
      </c>
      <c r="AX98" s="31">
        <f t="shared" si="26"/>
        <v>146.23312456485365</v>
      </c>
      <c r="AY98" s="42">
        <f t="shared" si="27"/>
        <v>51554.388720860581</v>
      </c>
      <c r="AZ98" s="42">
        <f t="shared" si="31"/>
        <v>15397150.339393621</v>
      </c>
      <c r="BA98" s="42">
        <f t="shared" si="28"/>
        <v>48325.010500515316</v>
      </c>
      <c r="BB98" s="42">
        <f t="shared" si="29"/>
        <v>6850</v>
      </c>
      <c r="BC98" s="38">
        <f t="shared" si="32"/>
        <v>36.450000000000003</v>
      </c>
      <c r="BD98" s="38">
        <f t="shared" si="33"/>
        <v>56.07692307692308</v>
      </c>
      <c r="BE98" s="38">
        <f t="shared" si="34"/>
        <v>25.155000000000001</v>
      </c>
      <c r="BH98" s="34">
        <v>59.5</v>
      </c>
      <c r="BI98" s="43">
        <v>4.04</v>
      </c>
    </row>
    <row r="99" spans="1:61">
      <c r="A99" s="19"/>
      <c r="B99" s="19"/>
      <c r="C99" s="19"/>
      <c r="D99" s="19"/>
      <c r="N99" s="123" t="s">
        <v>290</v>
      </c>
      <c r="O99" s="80">
        <v>56.5</v>
      </c>
      <c r="P99" s="124">
        <v>38.200000000000003</v>
      </c>
      <c r="Q99" s="124">
        <v>0.71</v>
      </c>
      <c r="R99" s="124">
        <v>17.71</v>
      </c>
      <c r="S99" s="124">
        <v>0.83</v>
      </c>
      <c r="T99" s="80">
        <v>2.25</v>
      </c>
      <c r="U99" s="80">
        <v>1.5625</v>
      </c>
      <c r="V99" s="80">
        <v>10.7</v>
      </c>
      <c r="W99" s="80">
        <v>37.1</v>
      </c>
      <c r="X99" s="35">
        <f t="shared" si="18"/>
        <v>51.464788732394375</v>
      </c>
      <c r="Y99" s="36">
        <f t="shared" si="19"/>
        <v>4.5079104984623299</v>
      </c>
      <c r="Z99" s="80">
        <v>2.6</v>
      </c>
      <c r="AA99" s="80">
        <v>13500</v>
      </c>
      <c r="AB99" s="124">
        <v>708</v>
      </c>
      <c r="AC99" s="80">
        <v>15.5</v>
      </c>
      <c r="AD99" s="80">
        <v>770</v>
      </c>
      <c r="AE99" s="124">
        <v>87</v>
      </c>
      <c r="AF99" s="80">
        <v>3.69</v>
      </c>
      <c r="AG99" s="81">
        <v>807</v>
      </c>
      <c r="AH99" s="80">
        <v>135</v>
      </c>
      <c r="AI99" s="81">
        <v>13.7</v>
      </c>
      <c r="AJ99" s="80">
        <v>268000</v>
      </c>
      <c r="AK99" s="80">
        <v>165</v>
      </c>
      <c r="AL99" s="80">
        <v>608</v>
      </c>
      <c r="AM99" s="80">
        <v>137</v>
      </c>
      <c r="AN99" s="80">
        <v>404</v>
      </c>
      <c r="AO99" s="125" t="s">
        <v>258</v>
      </c>
      <c r="AP99" s="126" t="s">
        <v>69</v>
      </c>
      <c r="AQ99" s="40">
        <f t="shared" si="20"/>
        <v>156.40586366501736</v>
      </c>
      <c r="AR99" s="41">
        <f t="shared" si="30"/>
        <v>37.370000000000005</v>
      </c>
      <c r="AS99" s="37">
        <f t="shared" si="21"/>
        <v>442.92809437295256</v>
      </c>
      <c r="AT99" s="42">
        <f t="shared" si="22"/>
        <v>40350</v>
      </c>
      <c r="AU99" s="31">
        <f t="shared" si="23"/>
        <v>24780</v>
      </c>
      <c r="AV99" s="31">
        <f t="shared" si="24"/>
        <v>54.341333171704889</v>
      </c>
      <c r="AW99" s="37">
        <f t="shared" si="25"/>
        <v>23925.094218603783</v>
      </c>
      <c r="AX99" s="31">
        <f t="shared" si="26"/>
        <v>156.40586366501736</v>
      </c>
      <c r="AY99" s="42">
        <f t="shared" si="27"/>
        <v>48001.578349950367</v>
      </c>
      <c r="AZ99" s="42">
        <f t="shared" si="31"/>
        <v>16938966.706771478</v>
      </c>
      <c r="BA99" s="42">
        <f t="shared" si="28"/>
        <v>44950.237181395365</v>
      </c>
      <c r="BB99" s="42">
        <f t="shared" si="29"/>
        <v>6750</v>
      </c>
      <c r="BC99" s="38">
        <f t="shared" si="32"/>
        <v>35.950000000000003</v>
      </c>
      <c r="BD99" s="38">
        <f t="shared" si="33"/>
        <v>50.633802816901415</v>
      </c>
      <c r="BE99" s="38">
        <f t="shared" si="34"/>
        <v>27.122</v>
      </c>
      <c r="BH99" s="80">
        <v>53.8</v>
      </c>
      <c r="BI99" s="81">
        <v>4.43</v>
      </c>
    </row>
    <row r="100" spans="1:61">
      <c r="N100" s="30" t="s">
        <v>291</v>
      </c>
      <c r="O100" s="40">
        <v>53.8</v>
      </c>
      <c r="P100" s="128">
        <v>39</v>
      </c>
      <c r="Q100" s="128">
        <v>0.65</v>
      </c>
      <c r="R100" s="128">
        <v>11.8</v>
      </c>
      <c r="S100" s="128">
        <v>1.22</v>
      </c>
      <c r="T100" s="40">
        <v>2.4</v>
      </c>
      <c r="U100" s="132">
        <v>1.5625</v>
      </c>
      <c r="V100" s="40">
        <v>4.84</v>
      </c>
      <c r="W100" s="84" t="s">
        <v>127</v>
      </c>
      <c r="X100" s="35">
        <f t="shared" si="18"/>
        <v>56.246153846153845</v>
      </c>
      <c r="Y100" s="36">
        <f t="shared" si="19"/>
        <v>3.0484232537200895</v>
      </c>
      <c r="Z100" s="34">
        <v>2.71</v>
      </c>
      <c r="AA100" s="40">
        <v>13300</v>
      </c>
      <c r="AB100" s="128">
        <v>683</v>
      </c>
      <c r="AC100" s="40">
        <v>15.7</v>
      </c>
      <c r="AD100" s="40">
        <v>336</v>
      </c>
      <c r="AE100" s="128">
        <v>56.9</v>
      </c>
      <c r="AF100" s="40">
        <v>2.5</v>
      </c>
      <c r="AG100" s="41">
        <v>783</v>
      </c>
      <c r="AH100" s="40">
        <v>89.6</v>
      </c>
      <c r="AI100" s="41">
        <v>20</v>
      </c>
      <c r="AJ100" s="40">
        <v>120000</v>
      </c>
      <c r="AK100" s="40">
        <v>111</v>
      </c>
      <c r="AL100" s="40">
        <v>402</v>
      </c>
      <c r="AM100" s="40">
        <v>129</v>
      </c>
      <c r="AN100" s="40">
        <v>381</v>
      </c>
      <c r="AO100" s="134" t="s">
        <v>260</v>
      </c>
      <c r="AP100" s="39" t="s">
        <v>69</v>
      </c>
      <c r="AQ100" s="40">
        <f t="shared" si="20"/>
        <v>105.96603229337221</v>
      </c>
      <c r="AR100" s="41">
        <f t="shared" si="30"/>
        <v>37.78</v>
      </c>
      <c r="AS100" s="37">
        <f t="shared" si="21"/>
        <v>311.79332388164676</v>
      </c>
      <c r="AT100" s="42">
        <f t="shared" si="22"/>
        <v>39150</v>
      </c>
      <c r="AU100" s="31">
        <f t="shared" si="23"/>
        <v>23905</v>
      </c>
      <c r="AV100" s="31">
        <f t="shared" si="24"/>
        <v>74.066951386093393</v>
      </c>
      <c r="AW100" s="37">
        <f t="shared" si="25"/>
        <v>10946.924780866431</v>
      </c>
      <c r="AX100" s="31">
        <f t="shared" si="26"/>
        <v>105.96603229337221</v>
      </c>
      <c r="AY100" s="42">
        <f t="shared" si="27"/>
        <v>45843.136520827342</v>
      </c>
      <c r="AZ100" s="42">
        <f t="shared" si="31"/>
        <v>7476749.6253317725</v>
      </c>
      <c r="BA100" s="42">
        <f t="shared" si="28"/>
        <v>43654.214247294309</v>
      </c>
      <c r="BB100" s="42">
        <f t="shared" si="29"/>
        <v>4480</v>
      </c>
      <c r="BC100" s="38">
        <f t="shared" si="32"/>
        <v>36.6</v>
      </c>
      <c r="BD100" s="38">
        <f t="shared" si="33"/>
        <v>56.307692307692307</v>
      </c>
      <c r="BE100" s="38">
        <f t="shared" si="34"/>
        <v>25.35</v>
      </c>
      <c r="BH100" s="34">
        <v>60</v>
      </c>
      <c r="BI100" s="43">
        <v>2.98</v>
      </c>
    </row>
    <row r="101" spans="1:61">
      <c r="N101" s="123" t="s">
        <v>292</v>
      </c>
      <c r="O101" s="80">
        <v>51.1</v>
      </c>
      <c r="P101" s="124">
        <v>38.200000000000003</v>
      </c>
      <c r="Q101" s="124">
        <v>0.65</v>
      </c>
      <c r="R101" s="124">
        <v>15.75</v>
      </c>
      <c r="S101" s="124">
        <v>0.83</v>
      </c>
      <c r="T101" s="141">
        <v>2</v>
      </c>
      <c r="U101" s="142">
        <v>1.5</v>
      </c>
      <c r="V101" s="80">
        <v>9.5</v>
      </c>
      <c r="W101" s="125">
        <v>46.8</v>
      </c>
      <c r="X101" s="35">
        <f t="shared" si="18"/>
        <v>56.215384615384622</v>
      </c>
      <c r="Y101" s="36">
        <f t="shared" si="19"/>
        <v>3.9773586519995114</v>
      </c>
      <c r="Z101" s="80">
        <v>2.92</v>
      </c>
      <c r="AA101" s="80">
        <v>12200</v>
      </c>
      <c r="AB101" s="124">
        <v>639</v>
      </c>
      <c r="AC101" s="80">
        <v>15.5</v>
      </c>
      <c r="AD101" s="80">
        <v>541</v>
      </c>
      <c r="AE101" s="124">
        <v>68.8</v>
      </c>
      <c r="AF101" s="80">
        <v>3.26</v>
      </c>
      <c r="AG101" s="81">
        <v>715</v>
      </c>
      <c r="AH101" s="80">
        <v>107</v>
      </c>
      <c r="AI101" s="81">
        <v>11.2</v>
      </c>
      <c r="AJ101" s="80">
        <v>189000</v>
      </c>
      <c r="AK101" s="80">
        <v>147</v>
      </c>
      <c r="AL101" s="80">
        <v>481</v>
      </c>
      <c r="AM101" s="80">
        <v>119</v>
      </c>
      <c r="AN101" s="80">
        <v>364</v>
      </c>
      <c r="AO101" s="143" t="s">
        <v>265</v>
      </c>
      <c r="AP101" s="126" t="s">
        <v>69</v>
      </c>
      <c r="AQ101" s="40">
        <f t="shared" si="20"/>
        <v>138.17970611055733</v>
      </c>
      <c r="AR101" s="41">
        <f t="shared" si="30"/>
        <v>37.370000000000005</v>
      </c>
      <c r="AS101" s="37">
        <f t="shared" si="21"/>
        <v>387.80920232055729</v>
      </c>
      <c r="AT101" s="42">
        <f t="shared" si="22"/>
        <v>35750</v>
      </c>
      <c r="AU101" s="31">
        <f t="shared" si="23"/>
        <v>22365</v>
      </c>
      <c r="AV101" s="31">
        <f t="shared" si="24"/>
        <v>53.619464859793311</v>
      </c>
      <c r="AW101" s="37">
        <f t="shared" si="25"/>
        <v>18625.578323518544</v>
      </c>
      <c r="AX101" s="31">
        <f t="shared" si="26"/>
        <v>138.17970611055733</v>
      </c>
      <c r="AY101" s="42">
        <f t="shared" si="27"/>
        <v>42322.658244318824</v>
      </c>
      <c r="AZ101" s="42">
        <f t="shared" si="31"/>
        <v>11901744.548728351</v>
      </c>
      <c r="BA101" s="42">
        <f t="shared" si="28"/>
        <v>39704.667609054399</v>
      </c>
      <c r="BB101" s="42">
        <f t="shared" si="29"/>
        <v>5350</v>
      </c>
      <c r="BC101" s="38">
        <f t="shared" si="32"/>
        <v>36.200000000000003</v>
      </c>
      <c r="BD101" s="38">
        <f t="shared" si="33"/>
        <v>55.692307692307693</v>
      </c>
      <c r="BE101" s="38">
        <f t="shared" si="34"/>
        <v>24.830000000000002</v>
      </c>
      <c r="BH101" s="80">
        <v>58.77</v>
      </c>
      <c r="BI101" s="81">
        <v>3.92</v>
      </c>
    </row>
    <row r="102" spans="1:61">
      <c r="C102" s="144"/>
      <c r="N102" s="30" t="s">
        <v>293</v>
      </c>
      <c r="O102" s="40">
        <v>49.2</v>
      </c>
      <c r="P102" s="128">
        <v>38.6</v>
      </c>
      <c r="Q102" s="128">
        <v>0.65</v>
      </c>
      <c r="R102" s="128">
        <v>11.8</v>
      </c>
      <c r="S102" s="128">
        <v>1.02</v>
      </c>
      <c r="T102" s="40">
        <v>2.21</v>
      </c>
      <c r="U102" s="132">
        <v>1.5625</v>
      </c>
      <c r="V102" s="40">
        <v>5.76</v>
      </c>
      <c r="W102" s="84" t="s">
        <v>127</v>
      </c>
      <c r="X102" s="35">
        <f t="shared" si="18"/>
        <v>56.246153846153845</v>
      </c>
      <c r="Y102" s="36">
        <f t="shared" si="19"/>
        <v>2.9770147239586615</v>
      </c>
      <c r="Z102" s="34">
        <v>3.19</v>
      </c>
      <c r="AA102" s="40">
        <v>11600</v>
      </c>
      <c r="AB102" s="128">
        <v>600</v>
      </c>
      <c r="AC102" s="40">
        <v>15.3</v>
      </c>
      <c r="AD102" s="40">
        <v>283</v>
      </c>
      <c r="AE102" s="128">
        <v>47.9</v>
      </c>
      <c r="AF102" s="40">
        <v>2.4</v>
      </c>
      <c r="AG102" s="41">
        <v>693</v>
      </c>
      <c r="AH102" s="40">
        <v>76</v>
      </c>
      <c r="AI102" s="41">
        <v>14</v>
      </c>
      <c r="AJ102" s="40">
        <v>99800</v>
      </c>
      <c r="AK102" s="40">
        <v>111</v>
      </c>
      <c r="AL102" s="40">
        <v>336</v>
      </c>
      <c r="AM102" s="40">
        <v>107</v>
      </c>
      <c r="AN102" s="40">
        <v>336</v>
      </c>
      <c r="AO102" s="134" t="s">
        <v>260</v>
      </c>
      <c r="AP102" s="39" t="s">
        <v>69</v>
      </c>
      <c r="AQ102" s="40">
        <f t="shared" si="20"/>
        <v>101.72739100163732</v>
      </c>
      <c r="AR102" s="41">
        <f t="shared" si="30"/>
        <v>37.58</v>
      </c>
      <c r="AS102" s="37">
        <f t="shared" si="21"/>
        <v>297.2749369403918</v>
      </c>
      <c r="AT102" s="42">
        <f t="shared" si="22"/>
        <v>34650</v>
      </c>
      <c r="AU102" s="31">
        <f t="shared" si="23"/>
        <v>21000</v>
      </c>
      <c r="AV102" s="31">
        <f t="shared" si="24"/>
        <v>69.803995414369368</v>
      </c>
      <c r="AW102" s="37">
        <f t="shared" si="25"/>
        <v>10438.753179240572</v>
      </c>
      <c r="AX102" s="31">
        <f t="shared" si="26"/>
        <v>101.72739100163732</v>
      </c>
      <c r="AY102" s="42">
        <f t="shared" si="27"/>
        <v>40662.036006529888</v>
      </c>
      <c r="AZ102" s="42">
        <f t="shared" si="31"/>
        <v>6263251.9075443428</v>
      </c>
      <c r="BA102" s="42">
        <f t="shared" si="28"/>
        <v>38682.963232244489</v>
      </c>
      <c r="BB102" s="42">
        <f t="shared" si="29"/>
        <v>3800</v>
      </c>
      <c r="BC102" s="38">
        <f t="shared" si="32"/>
        <v>36.39</v>
      </c>
      <c r="BD102" s="38">
        <f t="shared" si="33"/>
        <v>55.984615384615381</v>
      </c>
      <c r="BE102" s="38">
        <f t="shared" si="34"/>
        <v>25.090000000000003</v>
      </c>
      <c r="BH102" s="34">
        <v>59.4</v>
      </c>
      <c r="BI102" s="43">
        <v>2.91</v>
      </c>
    </row>
    <row r="103" spans="1:61">
      <c r="N103" s="30" t="s">
        <v>294</v>
      </c>
      <c r="O103" s="40">
        <v>43.8</v>
      </c>
      <c r="P103" s="128">
        <v>38.200000000000003</v>
      </c>
      <c r="Q103" s="128">
        <v>0.63</v>
      </c>
      <c r="R103" s="128">
        <v>11.8</v>
      </c>
      <c r="S103" s="128">
        <v>0.83</v>
      </c>
      <c r="T103" s="40">
        <v>2.0099999999999998</v>
      </c>
      <c r="U103" s="132">
        <v>1.5</v>
      </c>
      <c r="V103" s="40">
        <v>7.11</v>
      </c>
      <c r="W103" s="84" t="s">
        <v>127</v>
      </c>
      <c r="X103" s="35">
        <f t="shared" si="18"/>
        <v>58.000000000000007</v>
      </c>
      <c r="Y103" s="36">
        <f t="shared" si="19"/>
        <v>2.8880559977939768</v>
      </c>
      <c r="Z103" s="34">
        <v>3.9</v>
      </c>
      <c r="AA103" s="40">
        <v>9800</v>
      </c>
      <c r="AB103" s="128">
        <v>513</v>
      </c>
      <c r="AC103" s="40">
        <v>15</v>
      </c>
      <c r="AD103" s="40">
        <v>229</v>
      </c>
      <c r="AE103" s="128">
        <v>38.799999999999997</v>
      </c>
      <c r="AF103" s="40">
        <v>2.29</v>
      </c>
      <c r="AG103" s="41">
        <v>598</v>
      </c>
      <c r="AH103" s="40">
        <v>62.2</v>
      </c>
      <c r="AI103" s="41">
        <v>9.36</v>
      </c>
      <c r="AJ103" s="40">
        <v>80000</v>
      </c>
      <c r="AK103" s="40">
        <v>110</v>
      </c>
      <c r="AL103" s="40">
        <v>270</v>
      </c>
      <c r="AM103" s="40">
        <v>86.7</v>
      </c>
      <c r="AN103" s="40">
        <v>288</v>
      </c>
      <c r="AO103" s="134" t="s">
        <v>260</v>
      </c>
      <c r="AP103" s="39" t="s">
        <v>69</v>
      </c>
      <c r="AQ103" s="40">
        <f t="shared" si="20"/>
        <v>97.064885580728941</v>
      </c>
      <c r="AR103" s="41">
        <f t="shared" si="30"/>
        <v>37.370000000000005</v>
      </c>
      <c r="AS103" s="37">
        <f t="shared" si="21"/>
        <v>282.45141266105634</v>
      </c>
      <c r="AT103" s="42">
        <f t="shared" si="22"/>
        <v>29900</v>
      </c>
      <c r="AU103" s="31">
        <f t="shared" si="23"/>
        <v>17955</v>
      </c>
      <c r="AV103" s="31">
        <f t="shared" si="24"/>
        <v>64.432945522649931</v>
      </c>
      <c r="AW103" s="37">
        <f t="shared" si="25"/>
        <v>9823.1426047472414</v>
      </c>
      <c r="AX103" s="31">
        <f t="shared" si="26"/>
        <v>97.064885580728941</v>
      </c>
      <c r="AY103" s="42">
        <f t="shared" si="27"/>
        <v>35149.022534632022</v>
      </c>
      <c r="AZ103" s="42">
        <f t="shared" si="31"/>
        <v>5039272.1562353345</v>
      </c>
      <c r="BA103" s="42">
        <f t="shared" si="28"/>
        <v>33429.21214719124</v>
      </c>
      <c r="BB103" s="42">
        <f t="shared" si="29"/>
        <v>3110</v>
      </c>
      <c r="BC103" s="38">
        <f t="shared" si="32"/>
        <v>36.190000000000005</v>
      </c>
      <c r="BD103" s="38">
        <f t="shared" si="33"/>
        <v>57.44444444444445</v>
      </c>
      <c r="BE103" s="38">
        <f t="shared" si="34"/>
        <v>24.066000000000003</v>
      </c>
      <c r="BH103" s="34">
        <v>60.6</v>
      </c>
      <c r="BI103" s="43">
        <v>2.84</v>
      </c>
    </row>
    <row r="104" spans="1:61">
      <c r="N104" s="123" t="s">
        <v>295</v>
      </c>
      <c r="O104" s="80">
        <v>249</v>
      </c>
      <c r="P104" s="124">
        <v>42.45</v>
      </c>
      <c r="Q104" s="124">
        <v>2.52</v>
      </c>
      <c r="R104" s="124">
        <v>18.13</v>
      </c>
      <c r="S104" s="124">
        <v>4.53</v>
      </c>
      <c r="T104" s="80">
        <v>5.6875</v>
      </c>
      <c r="U104" s="80">
        <v>2.25</v>
      </c>
      <c r="V104" s="80">
        <v>2</v>
      </c>
      <c r="W104" s="125" t="s">
        <v>127</v>
      </c>
      <c r="X104" s="35">
        <f t="shared" si="18"/>
        <v>13.25</v>
      </c>
      <c r="Y104" s="36">
        <f t="shared" si="19"/>
        <v>5.2166924507951364</v>
      </c>
      <c r="Z104" s="80">
        <v>0.52</v>
      </c>
      <c r="AA104" s="80">
        <v>67400</v>
      </c>
      <c r="AB104" s="124">
        <v>3170</v>
      </c>
      <c r="AC104" s="80">
        <v>16.399999999999999</v>
      </c>
      <c r="AD104" s="80">
        <v>4550</v>
      </c>
      <c r="AE104" s="124">
        <v>501</v>
      </c>
      <c r="AF104" s="80">
        <v>4.2699999999999996</v>
      </c>
      <c r="AG104" s="81">
        <v>3830</v>
      </c>
      <c r="AH104" s="80">
        <v>799</v>
      </c>
      <c r="AI104" s="81">
        <v>1270</v>
      </c>
      <c r="AJ104" s="80">
        <v>1620000</v>
      </c>
      <c r="AK104" s="80">
        <v>172</v>
      </c>
      <c r="AL104" s="80">
        <v>3530</v>
      </c>
      <c r="AM104" s="80">
        <v>674</v>
      </c>
      <c r="AN104" s="80">
        <v>1910</v>
      </c>
      <c r="AO104" s="125" t="s">
        <v>296</v>
      </c>
      <c r="AP104" s="126" t="s">
        <v>69</v>
      </c>
      <c r="AQ104" s="40">
        <f t="shared" si="20"/>
        <v>180.98998315707971</v>
      </c>
      <c r="AR104" s="41">
        <f t="shared" si="30"/>
        <v>37.92</v>
      </c>
      <c r="AS104" s="37">
        <f t="shared" si="21"/>
        <v>1238.3705393238786</v>
      </c>
      <c r="AT104" s="42">
        <f t="shared" si="22"/>
        <v>191500</v>
      </c>
      <c r="AU104" s="31">
        <f t="shared" si="23"/>
        <v>110950</v>
      </c>
      <c r="AV104" s="31">
        <f t="shared" si="24"/>
        <v>76.178817106311016</v>
      </c>
      <c r="AW104" s="37">
        <f t="shared" si="25"/>
        <v>32150.143654277323</v>
      </c>
      <c r="AX104" s="31">
        <f t="shared" si="26"/>
        <v>180.98998315707971</v>
      </c>
      <c r="AY104" s="42">
        <f t="shared" si="27"/>
        <v>204099.21327813904</v>
      </c>
      <c r="AZ104" s="42">
        <f t="shared" si="31"/>
        <v>101915955.38405912</v>
      </c>
      <c r="BA104" s="42">
        <f t="shared" si="28"/>
        <v>215298.91489797024</v>
      </c>
      <c r="BB104" s="42">
        <f t="shared" si="29"/>
        <v>39950</v>
      </c>
      <c r="BC104" s="38">
        <f t="shared" si="32"/>
        <v>36.762500000000003</v>
      </c>
      <c r="BD104" s="38">
        <f t="shared" si="33"/>
        <v>14.588293650793652</v>
      </c>
      <c r="BE104" s="38">
        <f t="shared" si="34"/>
        <v>106.974</v>
      </c>
      <c r="BH104" s="80">
        <v>16.8</v>
      </c>
      <c r="BI104" s="81">
        <v>4.84</v>
      </c>
    </row>
    <row r="105" spans="1:61">
      <c r="N105" s="30" t="s">
        <v>297</v>
      </c>
      <c r="O105" s="40">
        <v>235</v>
      </c>
      <c r="P105" s="128">
        <v>42</v>
      </c>
      <c r="Q105" s="128">
        <v>2.38</v>
      </c>
      <c r="R105" s="128">
        <v>18</v>
      </c>
      <c r="S105" s="128">
        <v>4.29</v>
      </c>
      <c r="T105" s="40">
        <v>5.24</v>
      </c>
      <c r="U105" s="132">
        <v>2.375</v>
      </c>
      <c r="V105" s="40">
        <v>2.1</v>
      </c>
      <c r="W105" s="84" t="s">
        <v>127</v>
      </c>
      <c r="X105" s="35">
        <f t="shared" si="18"/>
        <v>14.042016806722691</v>
      </c>
      <c r="Y105" s="36">
        <f t="shared" si="19"/>
        <v>5.1550131982203018</v>
      </c>
      <c r="Z105" s="34">
        <v>0.54</v>
      </c>
      <c r="AA105" s="40">
        <v>62600</v>
      </c>
      <c r="AB105" s="128">
        <v>2980</v>
      </c>
      <c r="AC105" s="40">
        <v>16.3</v>
      </c>
      <c r="AD105" s="40">
        <v>4200</v>
      </c>
      <c r="AE105" s="128">
        <v>467</v>
      </c>
      <c r="AF105" s="40">
        <v>4.2300000000000004</v>
      </c>
      <c r="AG105" s="41">
        <v>3580</v>
      </c>
      <c r="AH105" s="40">
        <v>743</v>
      </c>
      <c r="AI105" s="41">
        <v>1050</v>
      </c>
      <c r="AJ105" s="40">
        <v>1490000</v>
      </c>
      <c r="AK105" s="40">
        <v>169</v>
      </c>
      <c r="AL105" s="40">
        <v>3270</v>
      </c>
      <c r="AM105" s="40">
        <v>631</v>
      </c>
      <c r="AN105" s="40">
        <v>1790</v>
      </c>
      <c r="AO105" s="130" t="s">
        <v>298</v>
      </c>
      <c r="AP105" s="39" t="s">
        <v>69</v>
      </c>
      <c r="AQ105" s="40">
        <f t="shared" si="20"/>
        <v>179.29452664038578</v>
      </c>
      <c r="AR105" s="41">
        <f t="shared" si="30"/>
        <v>37.71</v>
      </c>
      <c r="AS105" s="37">
        <f t="shared" si="21"/>
        <v>1154.1081888228514</v>
      </c>
      <c r="AT105" s="42">
        <f t="shared" si="22"/>
        <v>179000</v>
      </c>
      <c r="AU105" s="31">
        <f t="shared" si="23"/>
        <v>104300</v>
      </c>
      <c r="AV105" s="31">
        <f t="shared" si="24"/>
        <v>76.630029817962949</v>
      </c>
      <c r="AW105" s="37">
        <f t="shared" si="25"/>
        <v>31383.553767706129</v>
      </c>
      <c r="AX105" s="31">
        <f t="shared" si="26"/>
        <v>179.29452664038578</v>
      </c>
      <c r="AY105" s="42">
        <f t="shared" si="27"/>
        <v>191543.91645749009</v>
      </c>
      <c r="AZ105" s="42">
        <f t="shared" si="31"/>
        <v>93522990.227764264</v>
      </c>
      <c r="BA105" s="42">
        <f t="shared" si="28"/>
        <v>201070.50208415117</v>
      </c>
      <c r="BB105" s="42">
        <f t="shared" si="29"/>
        <v>37150</v>
      </c>
      <c r="BC105" s="38">
        <f t="shared" si="32"/>
        <v>36.76</v>
      </c>
      <c r="BD105" s="38">
        <f t="shared" si="33"/>
        <v>15.445378151260504</v>
      </c>
      <c r="BE105" s="38">
        <f t="shared" si="34"/>
        <v>99.96</v>
      </c>
      <c r="BH105" s="34">
        <v>17.600000000000001</v>
      </c>
      <c r="BI105" s="43">
        <v>4.8</v>
      </c>
    </row>
    <row r="106" spans="1:61">
      <c r="N106" s="123" t="s">
        <v>299</v>
      </c>
      <c r="O106" s="80">
        <v>211</v>
      </c>
      <c r="P106" s="124">
        <v>41.19</v>
      </c>
      <c r="Q106" s="124">
        <v>2.165</v>
      </c>
      <c r="R106" s="124">
        <v>17.774999999999999</v>
      </c>
      <c r="S106" s="124">
        <v>3.9</v>
      </c>
      <c r="T106" s="80">
        <v>5.0625</v>
      </c>
      <c r="U106" s="80">
        <v>2.0625</v>
      </c>
      <c r="V106" s="80">
        <v>2.2999999999999998</v>
      </c>
      <c r="W106" s="125" t="s">
        <v>127</v>
      </c>
      <c r="X106" s="35">
        <f t="shared" si="18"/>
        <v>15.422632794457275</v>
      </c>
      <c r="Y106" s="36">
        <f t="shared" si="19"/>
        <v>5.0504370601108635</v>
      </c>
      <c r="Z106" s="80">
        <v>0.59</v>
      </c>
      <c r="AA106" s="80">
        <v>55300</v>
      </c>
      <c r="AB106" s="124">
        <v>2690</v>
      </c>
      <c r="AC106" s="80">
        <v>16.2</v>
      </c>
      <c r="AD106" s="80">
        <v>3680</v>
      </c>
      <c r="AE106" s="124">
        <v>414</v>
      </c>
      <c r="AF106" s="80">
        <v>4.18</v>
      </c>
      <c r="AG106" s="81">
        <v>3190</v>
      </c>
      <c r="AH106" s="80">
        <v>656</v>
      </c>
      <c r="AI106" s="81">
        <v>804</v>
      </c>
      <c r="AJ106" s="80">
        <v>1270000</v>
      </c>
      <c r="AK106" s="80">
        <v>166</v>
      </c>
      <c r="AL106" s="80">
        <v>2870</v>
      </c>
      <c r="AM106" s="80">
        <v>571</v>
      </c>
      <c r="AN106" s="80">
        <v>1590</v>
      </c>
      <c r="AO106" s="125" t="s">
        <v>296</v>
      </c>
      <c r="AP106" s="126" t="s">
        <v>69</v>
      </c>
      <c r="AQ106" s="40">
        <f t="shared" si="20"/>
        <v>177.17520599451831</v>
      </c>
      <c r="AR106" s="41">
        <f t="shared" si="30"/>
        <v>37.29</v>
      </c>
      <c r="AS106" s="37">
        <f t="shared" si="21"/>
        <v>1052.0676655925738</v>
      </c>
      <c r="AT106" s="42">
        <f t="shared" si="22"/>
        <v>159500</v>
      </c>
      <c r="AU106" s="31">
        <f t="shared" si="23"/>
        <v>94150</v>
      </c>
      <c r="AV106" s="31">
        <f t="shared" si="24"/>
        <v>74.694894535978975</v>
      </c>
      <c r="AW106" s="37">
        <f t="shared" si="25"/>
        <v>30112.541082472031</v>
      </c>
      <c r="AX106" s="31">
        <f t="shared" si="26"/>
        <v>177.17520599451831</v>
      </c>
      <c r="AY106" s="42">
        <f t="shared" si="27"/>
        <v>171568.84297138962</v>
      </c>
      <c r="AZ106" s="42">
        <f t="shared" si="31"/>
        <v>81002735.511849761</v>
      </c>
      <c r="BA106" s="42">
        <f t="shared" si="28"/>
        <v>178807.99613385915</v>
      </c>
      <c r="BB106" s="42">
        <f t="shared" si="29"/>
        <v>32800</v>
      </c>
      <c r="BC106" s="38">
        <f t="shared" si="32"/>
        <v>36.127499999999998</v>
      </c>
      <c r="BD106" s="38">
        <f t="shared" si="33"/>
        <v>16.68706697459584</v>
      </c>
      <c r="BE106" s="38">
        <f t="shared" si="34"/>
        <v>89.176349999999999</v>
      </c>
      <c r="BH106" s="80">
        <v>19</v>
      </c>
      <c r="BI106" s="81">
        <v>4.7300000000000004</v>
      </c>
    </row>
    <row r="107" spans="1:61">
      <c r="N107" s="30" t="s">
        <v>300</v>
      </c>
      <c r="O107" s="40">
        <v>191</v>
      </c>
      <c r="P107" s="128">
        <v>40.5</v>
      </c>
      <c r="Q107" s="128">
        <v>1.97</v>
      </c>
      <c r="R107" s="128">
        <v>17.600000000000001</v>
      </c>
      <c r="S107" s="128">
        <v>3.54</v>
      </c>
      <c r="T107" s="40">
        <v>4.49</v>
      </c>
      <c r="U107" s="132">
        <v>2.1875</v>
      </c>
      <c r="V107" s="40">
        <v>2.48</v>
      </c>
      <c r="W107" s="84" t="s">
        <v>127</v>
      </c>
      <c r="X107" s="35">
        <f t="shared" si="18"/>
        <v>16.964467005076145</v>
      </c>
      <c r="Y107" s="36">
        <f t="shared" si="19"/>
        <v>4.9664327787109483</v>
      </c>
      <c r="Z107" s="34">
        <v>0.65</v>
      </c>
      <c r="AA107" s="40">
        <v>48900</v>
      </c>
      <c r="AB107" s="128">
        <v>2420</v>
      </c>
      <c r="AC107" s="40">
        <v>16</v>
      </c>
      <c r="AD107" s="40">
        <v>3230</v>
      </c>
      <c r="AE107" s="128">
        <v>367</v>
      </c>
      <c r="AF107" s="40">
        <v>4.1100000000000003</v>
      </c>
      <c r="AG107" s="41">
        <v>2860</v>
      </c>
      <c r="AH107" s="40">
        <v>580</v>
      </c>
      <c r="AI107" s="41">
        <v>591</v>
      </c>
      <c r="AJ107" s="40">
        <v>1100000</v>
      </c>
      <c r="AK107" s="40">
        <v>162</v>
      </c>
      <c r="AL107" s="40">
        <v>2520</v>
      </c>
      <c r="AM107" s="40">
        <v>510</v>
      </c>
      <c r="AN107" s="40">
        <v>1420</v>
      </c>
      <c r="AO107" s="130" t="s">
        <v>298</v>
      </c>
      <c r="AP107" s="39" t="s">
        <v>69</v>
      </c>
      <c r="AQ107" s="40">
        <f t="shared" si="20"/>
        <v>174.20815709030393</v>
      </c>
      <c r="AR107" s="41">
        <f t="shared" si="30"/>
        <v>36.96</v>
      </c>
      <c r="AS107" s="37">
        <f t="shared" si="21"/>
        <v>946.81535656380106</v>
      </c>
      <c r="AT107" s="42">
        <f t="shared" si="22"/>
        <v>143000</v>
      </c>
      <c r="AU107" s="31">
        <f t="shared" si="23"/>
        <v>84700</v>
      </c>
      <c r="AV107" s="31">
        <f t="shared" si="24"/>
        <v>75.458784282270827</v>
      </c>
      <c r="AW107" s="37">
        <f t="shared" si="25"/>
        <v>29106.407924447656</v>
      </c>
      <c r="AX107" s="31">
        <f t="shared" si="26"/>
        <v>174.20815709030393</v>
      </c>
      <c r="AY107" s="42">
        <f t="shared" si="27"/>
        <v>154968.37871128577</v>
      </c>
      <c r="AZ107" s="42">
        <f t="shared" si="31"/>
        <v>70437507.177163333</v>
      </c>
      <c r="BA107" s="42">
        <f t="shared" si="28"/>
        <v>160225.03710182081</v>
      </c>
      <c r="BB107" s="42">
        <f t="shared" si="29"/>
        <v>29000</v>
      </c>
      <c r="BC107" s="38">
        <f t="shared" si="32"/>
        <v>36.01</v>
      </c>
      <c r="BD107" s="38">
        <f t="shared" si="33"/>
        <v>18.279187817258883</v>
      </c>
      <c r="BE107" s="38">
        <f t="shared" si="34"/>
        <v>79.784999999999997</v>
      </c>
      <c r="BH107" s="34">
        <v>20.5</v>
      </c>
      <c r="BI107" s="43">
        <v>4.67</v>
      </c>
    </row>
    <row r="108" spans="1:61">
      <c r="N108" s="123" t="s">
        <v>301</v>
      </c>
      <c r="O108" s="80">
        <v>172</v>
      </c>
      <c r="P108" s="124">
        <v>39.840000000000003</v>
      </c>
      <c r="Q108" s="124">
        <v>1.79</v>
      </c>
      <c r="R108" s="124">
        <v>17.399999999999999</v>
      </c>
      <c r="S108" s="124">
        <v>3.23</v>
      </c>
      <c r="T108" s="80">
        <v>4.375</v>
      </c>
      <c r="U108" s="80">
        <v>1.875</v>
      </c>
      <c r="V108" s="80">
        <v>2.7</v>
      </c>
      <c r="W108" s="125" t="s">
        <v>127</v>
      </c>
      <c r="X108" s="35">
        <f t="shared" si="18"/>
        <v>18.648044692737432</v>
      </c>
      <c r="Y108" s="36">
        <f t="shared" si="19"/>
        <v>4.8919166615809404</v>
      </c>
      <c r="Z108" s="80">
        <v>0.71</v>
      </c>
      <c r="AA108" s="80">
        <v>43500</v>
      </c>
      <c r="AB108" s="124">
        <v>2180</v>
      </c>
      <c r="AC108" s="80">
        <v>15.9</v>
      </c>
      <c r="AD108" s="80">
        <v>2850</v>
      </c>
      <c r="AE108" s="124">
        <v>328</v>
      </c>
      <c r="AF108" s="80">
        <v>4.07</v>
      </c>
      <c r="AG108" s="81">
        <v>2550</v>
      </c>
      <c r="AH108" s="80">
        <v>517</v>
      </c>
      <c r="AI108" s="81">
        <v>453</v>
      </c>
      <c r="AJ108" s="80">
        <v>950000</v>
      </c>
      <c r="AK108" s="80">
        <v>159</v>
      </c>
      <c r="AL108" s="80">
        <v>2240</v>
      </c>
      <c r="AM108" s="80">
        <v>465</v>
      </c>
      <c r="AN108" s="80">
        <v>1280</v>
      </c>
      <c r="AO108" s="125" t="s">
        <v>296</v>
      </c>
      <c r="AP108" s="126" t="s">
        <v>69</v>
      </c>
      <c r="AQ108" s="40">
        <f t="shared" si="20"/>
        <v>172.51270057360998</v>
      </c>
      <c r="AR108" s="41">
        <f t="shared" si="30"/>
        <v>36.610000000000007</v>
      </c>
      <c r="AS108" s="37">
        <f t="shared" si="21"/>
        <v>871.64489757645322</v>
      </c>
      <c r="AT108" s="42">
        <f t="shared" si="22"/>
        <v>127500</v>
      </c>
      <c r="AU108" s="31">
        <f t="shared" si="23"/>
        <v>76300</v>
      </c>
      <c r="AV108" s="31">
        <f t="shared" si="24"/>
        <v>73.233646253874042</v>
      </c>
      <c r="AW108" s="37">
        <f t="shared" si="25"/>
        <v>28231.349274033229</v>
      </c>
      <c r="AX108" s="31">
        <f t="shared" si="26"/>
        <v>172.51270057360998</v>
      </c>
      <c r="AY108" s="42">
        <f t="shared" si="27"/>
        <v>138991.28920654781</v>
      </c>
      <c r="AZ108" s="42">
        <f t="shared" si="31"/>
        <v>61544341.41739244</v>
      </c>
      <c r="BA108" s="42">
        <f t="shared" si="28"/>
        <v>142627.30531068996</v>
      </c>
      <c r="BB108" s="42">
        <f t="shared" si="29"/>
        <v>25850</v>
      </c>
      <c r="BC108" s="38">
        <f t="shared" si="32"/>
        <v>35.465000000000003</v>
      </c>
      <c r="BD108" s="38">
        <f t="shared" si="33"/>
        <v>19.812849162011176</v>
      </c>
      <c r="BE108" s="38">
        <f t="shared" si="34"/>
        <v>71.313600000000008</v>
      </c>
      <c r="BH108" s="80">
        <v>22.3</v>
      </c>
      <c r="BI108" s="81">
        <v>4.62</v>
      </c>
    </row>
    <row r="109" spans="1:61">
      <c r="N109" s="30" t="s">
        <v>302</v>
      </c>
      <c r="O109" s="40">
        <v>155</v>
      </c>
      <c r="P109" s="128">
        <v>39.200000000000003</v>
      </c>
      <c r="Q109" s="128">
        <v>1.61</v>
      </c>
      <c r="R109" s="128">
        <v>17.2</v>
      </c>
      <c r="S109" s="128">
        <v>2.91</v>
      </c>
      <c r="T109" s="40">
        <v>3.86</v>
      </c>
      <c r="U109" s="129">
        <v>2</v>
      </c>
      <c r="V109" s="40">
        <v>2.96</v>
      </c>
      <c r="W109" s="84" t="s">
        <v>127</v>
      </c>
      <c r="X109" s="35">
        <f t="shared" si="18"/>
        <v>20.732919254658384</v>
      </c>
      <c r="Y109" s="36">
        <f t="shared" si="19"/>
        <v>4.8134986476334696</v>
      </c>
      <c r="Z109" s="34">
        <v>0.78</v>
      </c>
      <c r="AA109" s="40">
        <v>38300</v>
      </c>
      <c r="AB109" s="128">
        <v>1950</v>
      </c>
      <c r="AC109" s="40">
        <v>15.7</v>
      </c>
      <c r="AD109" s="40">
        <v>2490</v>
      </c>
      <c r="AE109" s="128">
        <v>289</v>
      </c>
      <c r="AF109" s="40">
        <v>4.01</v>
      </c>
      <c r="AG109" s="41">
        <v>2280</v>
      </c>
      <c r="AH109" s="40">
        <v>454</v>
      </c>
      <c r="AI109" s="41">
        <v>327</v>
      </c>
      <c r="AJ109" s="40">
        <v>820000</v>
      </c>
      <c r="AK109" s="40">
        <v>156</v>
      </c>
      <c r="AL109" s="40">
        <v>1960</v>
      </c>
      <c r="AM109" s="40">
        <v>412</v>
      </c>
      <c r="AN109" s="40">
        <v>1130</v>
      </c>
      <c r="AO109" s="130" t="s">
        <v>298</v>
      </c>
      <c r="AP109" s="39" t="s">
        <v>69</v>
      </c>
      <c r="AQ109" s="40">
        <f t="shared" si="20"/>
        <v>169.96951579856901</v>
      </c>
      <c r="AR109" s="41">
        <f t="shared" si="30"/>
        <v>36.290000000000006</v>
      </c>
      <c r="AS109" s="37">
        <f t="shared" si="21"/>
        <v>785.71390265955483</v>
      </c>
      <c r="AT109" s="42">
        <f t="shared" si="22"/>
        <v>114000</v>
      </c>
      <c r="AU109" s="31">
        <f t="shared" si="23"/>
        <v>68250</v>
      </c>
      <c r="AV109" s="31">
        <f t="shared" si="24"/>
        <v>74.300311909020778</v>
      </c>
      <c r="AW109" s="37">
        <f t="shared" si="25"/>
        <v>27323.749631030838</v>
      </c>
      <c r="AX109" s="31">
        <f t="shared" si="26"/>
        <v>169.96951579856901</v>
      </c>
      <c r="AY109" s="42">
        <f t="shared" si="27"/>
        <v>125469.70317307819</v>
      </c>
      <c r="AZ109" s="42">
        <f t="shared" si="31"/>
        <v>53281311.780510135</v>
      </c>
      <c r="BA109" s="42">
        <f t="shared" si="28"/>
        <v>127517.07456961066</v>
      </c>
      <c r="BB109" s="42">
        <f t="shared" si="29"/>
        <v>22700</v>
      </c>
      <c r="BC109" s="38">
        <f t="shared" si="32"/>
        <v>35.340000000000003</v>
      </c>
      <c r="BD109" s="38">
        <f t="shared" si="33"/>
        <v>21.950310559006212</v>
      </c>
      <c r="BE109" s="38">
        <f t="shared" si="34"/>
        <v>63.112000000000009</v>
      </c>
      <c r="BH109" s="34">
        <v>24.4</v>
      </c>
      <c r="BI109" s="43">
        <v>4.57</v>
      </c>
    </row>
    <row r="110" spans="1:61">
      <c r="N110" s="123" t="s">
        <v>303</v>
      </c>
      <c r="O110" s="80">
        <v>142</v>
      </c>
      <c r="P110" s="124">
        <v>38.74</v>
      </c>
      <c r="Q110" s="124">
        <v>1.5</v>
      </c>
      <c r="R110" s="124">
        <v>17.105</v>
      </c>
      <c r="S110" s="124">
        <v>2.68</v>
      </c>
      <c r="T110" s="80">
        <v>3.8125</v>
      </c>
      <c r="U110" s="80">
        <v>1.75</v>
      </c>
      <c r="V110" s="80">
        <v>3.2</v>
      </c>
      <c r="W110" s="125" t="s">
        <v>127</v>
      </c>
      <c r="X110" s="35">
        <f t="shared" si="18"/>
        <v>22.253333333333334</v>
      </c>
      <c r="Y110" s="36">
        <f t="shared" si="19"/>
        <v>4.760610026165665</v>
      </c>
      <c r="Z110" s="80">
        <v>0.85</v>
      </c>
      <c r="AA110" s="80">
        <v>34700</v>
      </c>
      <c r="AB110" s="124">
        <v>1790</v>
      </c>
      <c r="AC110" s="80">
        <v>15.6</v>
      </c>
      <c r="AD110" s="80">
        <v>2250</v>
      </c>
      <c r="AE110" s="124">
        <v>263</v>
      </c>
      <c r="AF110" s="80">
        <v>3.98</v>
      </c>
      <c r="AG110" s="81">
        <v>2070</v>
      </c>
      <c r="AH110" s="80">
        <v>412</v>
      </c>
      <c r="AI110" s="81">
        <v>260</v>
      </c>
      <c r="AJ110" s="80">
        <v>727000</v>
      </c>
      <c r="AK110" s="80">
        <v>154</v>
      </c>
      <c r="AL110" s="80">
        <v>1770</v>
      </c>
      <c r="AM110" s="80">
        <v>380</v>
      </c>
      <c r="AN110" s="80">
        <v>1040</v>
      </c>
      <c r="AO110" s="125" t="s">
        <v>296</v>
      </c>
      <c r="AP110" s="126" t="s">
        <v>69</v>
      </c>
      <c r="AQ110" s="40">
        <f t="shared" si="20"/>
        <v>168.69792341104855</v>
      </c>
      <c r="AR110" s="41">
        <f t="shared" si="30"/>
        <v>36.06</v>
      </c>
      <c r="AS110" s="37">
        <f t="shared" si="21"/>
        <v>735.12310108694817</v>
      </c>
      <c r="AT110" s="42">
        <f t="shared" si="22"/>
        <v>103500</v>
      </c>
      <c r="AU110" s="31">
        <f t="shared" si="23"/>
        <v>62650</v>
      </c>
      <c r="AV110" s="31">
        <f t="shared" si="24"/>
        <v>72.118969300785196</v>
      </c>
      <c r="AW110" s="37">
        <f t="shared" si="25"/>
        <v>26721.120446890949</v>
      </c>
      <c r="AX110" s="31">
        <f t="shared" si="26"/>
        <v>168.69792341104855</v>
      </c>
      <c r="AY110" s="42">
        <f t="shared" si="27"/>
        <v>114541.26443849537</v>
      </c>
      <c r="AZ110" s="42">
        <f t="shared" si="31"/>
        <v>47830805.599934801</v>
      </c>
      <c r="BA110" s="42">
        <f t="shared" si="28"/>
        <v>115569.34417854853</v>
      </c>
      <c r="BB110" s="42">
        <f t="shared" si="29"/>
        <v>20600</v>
      </c>
      <c r="BC110" s="38">
        <f t="shared" si="32"/>
        <v>34.927500000000002</v>
      </c>
      <c r="BD110" s="38">
        <f t="shared" si="33"/>
        <v>23.285</v>
      </c>
      <c r="BE110" s="38">
        <f t="shared" si="34"/>
        <v>58.11</v>
      </c>
      <c r="BH110" s="80">
        <v>25.8</v>
      </c>
      <c r="BI110" s="81">
        <v>4.53</v>
      </c>
    </row>
    <row r="111" spans="1:61">
      <c r="N111" s="30" t="s">
        <v>304</v>
      </c>
      <c r="O111" s="40">
        <v>129</v>
      </c>
      <c r="P111" s="128">
        <v>38.299999999999997</v>
      </c>
      <c r="Q111" s="128">
        <v>1.36</v>
      </c>
      <c r="R111" s="128">
        <v>17</v>
      </c>
      <c r="S111" s="128">
        <v>2.44</v>
      </c>
      <c r="T111" s="40">
        <v>3.39</v>
      </c>
      <c r="U111" s="132">
        <v>1.875</v>
      </c>
      <c r="V111" s="40">
        <v>3.48</v>
      </c>
      <c r="W111" s="84" t="s">
        <v>127</v>
      </c>
      <c r="X111" s="35">
        <f t="shared" si="18"/>
        <v>24.573529411764699</v>
      </c>
      <c r="Y111" s="36">
        <f t="shared" si="19"/>
        <v>4.6930931651513292</v>
      </c>
      <c r="Z111" s="34">
        <v>0.92</v>
      </c>
      <c r="AA111" s="40">
        <v>31000</v>
      </c>
      <c r="AB111" s="128">
        <v>1620</v>
      </c>
      <c r="AC111" s="40">
        <v>15.5</v>
      </c>
      <c r="AD111" s="40">
        <v>1990</v>
      </c>
      <c r="AE111" s="128">
        <v>235</v>
      </c>
      <c r="AF111" s="40">
        <v>3.93</v>
      </c>
      <c r="AG111" s="41">
        <v>1870</v>
      </c>
      <c r="AH111" s="40">
        <v>367</v>
      </c>
      <c r="AI111" s="41">
        <v>193</v>
      </c>
      <c r="AJ111" s="40">
        <v>638000</v>
      </c>
      <c r="AK111" s="40">
        <v>152</v>
      </c>
      <c r="AL111" s="40">
        <v>1570</v>
      </c>
      <c r="AM111" s="40">
        <v>341</v>
      </c>
      <c r="AN111" s="40">
        <v>931</v>
      </c>
      <c r="AO111" s="130" t="s">
        <v>298</v>
      </c>
      <c r="AP111" s="39" t="s">
        <v>69</v>
      </c>
      <c r="AQ111" s="40">
        <f t="shared" si="20"/>
        <v>166.5786027651811</v>
      </c>
      <c r="AR111" s="41">
        <f t="shared" si="30"/>
        <v>35.86</v>
      </c>
      <c r="AS111" s="37">
        <f t="shared" si="21"/>
        <v>673.62966957297488</v>
      </c>
      <c r="AT111" s="42">
        <f t="shared" si="22"/>
        <v>93500</v>
      </c>
      <c r="AU111" s="31">
        <f t="shared" si="23"/>
        <v>56700</v>
      </c>
      <c r="AV111" s="31">
        <f t="shared" si="24"/>
        <v>72.576516270203726</v>
      </c>
      <c r="AW111" s="37">
        <f t="shared" si="25"/>
        <v>25961.948860305314</v>
      </c>
      <c r="AX111" s="31">
        <f t="shared" si="26"/>
        <v>166.5786027651811</v>
      </c>
      <c r="AY111" s="42">
        <f t="shared" si="27"/>
        <v>104457.5010200398</v>
      </c>
      <c r="AZ111" s="42">
        <f t="shared" si="31"/>
        <v>42058357.153694607</v>
      </c>
      <c r="BA111" s="42">
        <f t="shared" si="28"/>
        <v>104372.75069205841</v>
      </c>
      <c r="BB111" s="42">
        <f t="shared" si="29"/>
        <v>18350</v>
      </c>
      <c r="BC111" s="38">
        <f t="shared" si="32"/>
        <v>34.909999999999997</v>
      </c>
      <c r="BD111" s="38">
        <f t="shared" si="33"/>
        <v>25.669117647058819</v>
      </c>
      <c r="BE111" s="38">
        <f t="shared" si="34"/>
        <v>52.088000000000001</v>
      </c>
      <c r="BH111" s="34">
        <v>28.1</v>
      </c>
      <c r="BI111" s="43">
        <v>4.49</v>
      </c>
    </row>
    <row r="112" spans="1:61">
      <c r="N112" s="30" t="s">
        <v>305</v>
      </c>
      <c r="O112" s="40">
        <v>116</v>
      </c>
      <c r="P112" s="128">
        <v>37.799999999999997</v>
      </c>
      <c r="Q112" s="128">
        <v>1.22</v>
      </c>
      <c r="R112" s="128">
        <v>16.8</v>
      </c>
      <c r="S112" s="128">
        <v>2.2000000000000002</v>
      </c>
      <c r="T112" s="40">
        <v>3.15</v>
      </c>
      <c r="U112" s="145">
        <v>1.8125</v>
      </c>
      <c r="V112" s="40">
        <v>3.82</v>
      </c>
      <c r="W112" s="84" t="s">
        <v>127</v>
      </c>
      <c r="X112" s="35">
        <f t="shared" si="18"/>
        <v>27.377049180327869</v>
      </c>
      <c r="Y112" s="36">
        <f t="shared" si="19"/>
        <v>4.6349496891217328</v>
      </c>
      <c r="Z112" s="34">
        <v>1.02</v>
      </c>
      <c r="AA112" s="40">
        <v>27500</v>
      </c>
      <c r="AB112" s="128">
        <v>1450</v>
      </c>
      <c r="AC112" s="40">
        <v>15.4</v>
      </c>
      <c r="AD112" s="40">
        <v>1750</v>
      </c>
      <c r="AE112" s="128">
        <v>208</v>
      </c>
      <c r="AF112" s="40">
        <v>3.9</v>
      </c>
      <c r="AG112" s="41">
        <v>1670</v>
      </c>
      <c r="AH112" s="40">
        <v>325</v>
      </c>
      <c r="AI112" s="41">
        <v>141</v>
      </c>
      <c r="AJ112" s="40">
        <v>554000</v>
      </c>
      <c r="AK112" s="40">
        <v>150</v>
      </c>
      <c r="AL112" s="40">
        <v>1390</v>
      </c>
      <c r="AM112" s="40">
        <v>306</v>
      </c>
      <c r="AN112" s="40">
        <v>829</v>
      </c>
      <c r="AO112" s="130" t="s">
        <v>298</v>
      </c>
      <c r="AP112" s="39" t="s">
        <v>69</v>
      </c>
      <c r="AQ112" s="40">
        <f t="shared" si="20"/>
        <v>165.30701037766065</v>
      </c>
      <c r="AR112" s="41">
        <f t="shared" si="30"/>
        <v>35.599999999999994</v>
      </c>
      <c r="AS112" s="37">
        <f t="shared" si="21"/>
        <v>621.69074892565459</v>
      </c>
      <c r="AT112" s="42">
        <f t="shared" si="22"/>
        <v>83500</v>
      </c>
      <c r="AU112" s="31">
        <f t="shared" si="23"/>
        <v>50750</v>
      </c>
      <c r="AV112" s="31">
        <f t="shared" si="24"/>
        <v>71.759787288205416</v>
      </c>
      <c r="AW112" s="37">
        <f t="shared" si="25"/>
        <v>25316.962256905725</v>
      </c>
      <c r="AX112" s="31">
        <f t="shared" si="26"/>
        <v>165.30701037766065</v>
      </c>
      <c r="AY112" s="42">
        <f t="shared" si="27"/>
        <v>94242.943220254092</v>
      </c>
      <c r="AZ112" s="42">
        <f t="shared" si="31"/>
        <v>36709595.2725133</v>
      </c>
      <c r="BA112" s="42">
        <f t="shared" si="28"/>
        <v>93176.157205568292</v>
      </c>
      <c r="BB112" s="42">
        <f t="shared" si="29"/>
        <v>16250</v>
      </c>
      <c r="BC112" s="38">
        <f t="shared" si="32"/>
        <v>34.65</v>
      </c>
      <c r="BD112" s="38">
        <f t="shared" si="33"/>
        <v>28.401639344262296</v>
      </c>
      <c r="BE112" s="38">
        <f t="shared" si="34"/>
        <v>46.115999999999993</v>
      </c>
      <c r="BH112" s="34">
        <v>31</v>
      </c>
      <c r="BI112" s="43">
        <v>4.45</v>
      </c>
    </row>
    <row r="113" spans="14:61">
      <c r="N113" s="30" t="s">
        <v>306</v>
      </c>
      <c r="O113" s="40">
        <v>105</v>
      </c>
      <c r="P113" s="128">
        <v>37.4</v>
      </c>
      <c r="Q113" s="128">
        <v>1.1200000000000001</v>
      </c>
      <c r="R113" s="128">
        <v>16.7</v>
      </c>
      <c r="S113" s="128">
        <v>2.0099999999999998</v>
      </c>
      <c r="T113" s="40">
        <v>2.96</v>
      </c>
      <c r="U113" s="132">
        <v>1.75</v>
      </c>
      <c r="V113" s="40">
        <v>4.16</v>
      </c>
      <c r="W113" s="84" t="s">
        <v>127</v>
      </c>
      <c r="X113" s="35">
        <f t="shared" si="18"/>
        <v>29.80357142857142</v>
      </c>
      <c r="Y113" s="36">
        <f t="shared" si="19"/>
        <v>4.5876274649949247</v>
      </c>
      <c r="Z113" s="34">
        <v>1.1100000000000001</v>
      </c>
      <c r="AA113" s="40">
        <v>24800</v>
      </c>
      <c r="AB113" s="128">
        <v>1320</v>
      </c>
      <c r="AC113" s="40">
        <v>15.3</v>
      </c>
      <c r="AD113" s="40">
        <v>1570</v>
      </c>
      <c r="AE113" s="128">
        <v>188</v>
      </c>
      <c r="AF113" s="40">
        <v>3.86</v>
      </c>
      <c r="AG113" s="41">
        <v>1510</v>
      </c>
      <c r="AH113" s="40">
        <v>292</v>
      </c>
      <c r="AI113" s="41">
        <v>108</v>
      </c>
      <c r="AJ113" s="40">
        <v>492000</v>
      </c>
      <c r="AK113" s="40">
        <v>148</v>
      </c>
      <c r="AL113" s="40">
        <v>1240</v>
      </c>
      <c r="AM113" s="40">
        <v>278</v>
      </c>
      <c r="AN113" s="40">
        <v>751</v>
      </c>
      <c r="AO113" s="130" t="s">
        <v>298</v>
      </c>
      <c r="AP113" s="39" t="s">
        <v>69</v>
      </c>
      <c r="AQ113" s="40">
        <f t="shared" si="20"/>
        <v>163.61155386096667</v>
      </c>
      <c r="AR113" s="41">
        <f t="shared" si="30"/>
        <v>35.39</v>
      </c>
      <c r="AS113" s="37">
        <f t="shared" si="21"/>
        <v>584.09302178058579</v>
      </c>
      <c r="AT113" s="42">
        <f t="shared" si="22"/>
        <v>75500</v>
      </c>
      <c r="AU113" s="31">
        <f t="shared" si="23"/>
        <v>46200</v>
      </c>
      <c r="AV113" s="31">
        <f t="shared" si="24"/>
        <v>69.682024620407532</v>
      </c>
      <c r="AW113" s="37">
        <f t="shared" si="25"/>
        <v>24798.572598669125</v>
      </c>
      <c r="AX113" s="31">
        <f t="shared" si="26"/>
        <v>163.61155386096667</v>
      </c>
      <c r="AY113" s="42">
        <f t="shared" si="27"/>
        <v>85813.744740244656</v>
      </c>
      <c r="AZ113" s="42">
        <f t="shared" si="31"/>
        <v>32734115.830243245</v>
      </c>
      <c r="BA113" s="42">
        <f t="shared" si="28"/>
        <v>84156.836828187807</v>
      </c>
      <c r="BB113" s="42">
        <f t="shared" si="29"/>
        <v>14600</v>
      </c>
      <c r="BC113" s="38">
        <f t="shared" si="32"/>
        <v>34.44</v>
      </c>
      <c r="BD113" s="38">
        <f t="shared" si="33"/>
        <v>30.749999999999996</v>
      </c>
      <c r="BE113" s="38">
        <f t="shared" si="34"/>
        <v>41.888000000000005</v>
      </c>
      <c r="BH113" s="34">
        <v>33.4</v>
      </c>
      <c r="BI113" s="43">
        <v>4.42</v>
      </c>
    </row>
    <row r="114" spans="14:61">
      <c r="N114" s="30" t="s">
        <v>307</v>
      </c>
      <c r="O114" s="40">
        <v>96.4</v>
      </c>
      <c r="P114" s="128">
        <v>37.1</v>
      </c>
      <c r="Q114" s="128">
        <v>1.02</v>
      </c>
      <c r="R114" s="128">
        <v>16.600000000000001</v>
      </c>
      <c r="S114" s="128">
        <v>1.85</v>
      </c>
      <c r="T114" s="40">
        <v>2.8</v>
      </c>
      <c r="U114" s="132">
        <v>1.75</v>
      </c>
      <c r="V114" s="40">
        <v>4.49</v>
      </c>
      <c r="W114" s="84" t="s">
        <v>127</v>
      </c>
      <c r="X114" s="35">
        <f t="shared" si="18"/>
        <v>32.745098039215684</v>
      </c>
      <c r="Y114" s="36">
        <f t="shared" si="19"/>
        <v>4.5479538583324102</v>
      </c>
      <c r="Z114" s="34">
        <v>1.21</v>
      </c>
      <c r="AA114" s="40">
        <v>22500</v>
      </c>
      <c r="AB114" s="128">
        <v>1210</v>
      </c>
      <c r="AC114" s="40">
        <v>15.3</v>
      </c>
      <c r="AD114" s="40">
        <v>1420</v>
      </c>
      <c r="AE114" s="128">
        <v>171</v>
      </c>
      <c r="AF114" s="40">
        <v>3.84</v>
      </c>
      <c r="AG114" s="41">
        <v>1380</v>
      </c>
      <c r="AH114" s="40">
        <v>265</v>
      </c>
      <c r="AI114" s="41">
        <v>84.1</v>
      </c>
      <c r="AJ114" s="40">
        <v>441000</v>
      </c>
      <c r="AK114" s="40">
        <v>147</v>
      </c>
      <c r="AL114" s="40">
        <v>1130</v>
      </c>
      <c r="AM114" s="40">
        <v>254</v>
      </c>
      <c r="AN114" s="40">
        <v>684</v>
      </c>
      <c r="AO114" s="130" t="s">
        <v>298</v>
      </c>
      <c r="AP114" s="39" t="s">
        <v>69</v>
      </c>
      <c r="AQ114" s="40">
        <f t="shared" si="20"/>
        <v>162.7638256026197</v>
      </c>
      <c r="AR114" s="41">
        <f t="shared" si="30"/>
        <v>35.25</v>
      </c>
      <c r="AS114" s="37">
        <f t="shared" si="21"/>
        <v>553.69234313131676</v>
      </c>
      <c r="AT114" s="42">
        <f t="shared" si="22"/>
        <v>69000</v>
      </c>
      <c r="AU114" s="31">
        <f t="shared" si="23"/>
        <v>42350</v>
      </c>
      <c r="AV114" s="31">
        <f t="shared" si="24"/>
        <v>68.171030776857279</v>
      </c>
      <c r="AW114" s="37">
        <f t="shared" si="25"/>
        <v>24368.161237152322</v>
      </c>
      <c r="AX114" s="31">
        <f t="shared" si="26"/>
        <v>162.7638256026197</v>
      </c>
      <c r="AY114" s="42">
        <f t="shared" si="27"/>
        <v>79032.309684396241</v>
      </c>
      <c r="AZ114" s="42">
        <f t="shared" si="31"/>
        <v>29485475.096954308</v>
      </c>
      <c r="BA114" s="42">
        <f t="shared" si="28"/>
        <v>76873.880596286865</v>
      </c>
      <c r="BB114" s="42">
        <f t="shared" si="29"/>
        <v>13250</v>
      </c>
      <c r="BC114" s="38">
        <f t="shared" si="32"/>
        <v>34.300000000000004</v>
      </c>
      <c r="BD114" s="38">
        <f t="shared" si="33"/>
        <v>33.627450980392162</v>
      </c>
      <c r="BE114" s="38">
        <f t="shared" si="34"/>
        <v>37.841999999999999</v>
      </c>
      <c r="BH114" s="34">
        <v>36.4</v>
      </c>
      <c r="BI114" s="43">
        <v>4.3899999999999997</v>
      </c>
    </row>
    <row r="115" spans="14:61">
      <c r="N115" s="30" t="s">
        <v>308</v>
      </c>
      <c r="O115" s="40">
        <v>88.3</v>
      </c>
      <c r="P115" s="128">
        <v>36.700000000000003</v>
      </c>
      <c r="Q115" s="128">
        <v>0.94499999999999995</v>
      </c>
      <c r="R115" s="128">
        <v>16.7</v>
      </c>
      <c r="S115" s="128">
        <v>1.68</v>
      </c>
      <c r="T115" s="40">
        <v>2.63</v>
      </c>
      <c r="U115" s="145">
        <v>1.6875</v>
      </c>
      <c r="V115" s="40">
        <v>4.96</v>
      </c>
      <c r="W115" s="84" t="s">
        <v>127</v>
      </c>
      <c r="X115" s="35">
        <f t="shared" si="18"/>
        <v>35.280423280423285</v>
      </c>
      <c r="Y115" s="36">
        <f t="shared" si="19"/>
        <v>4.5284884020175218</v>
      </c>
      <c r="Z115" s="34">
        <v>1.31</v>
      </c>
      <c r="AA115" s="40">
        <v>20300</v>
      </c>
      <c r="AB115" s="128">
        <v>1110</v>
      </c>
      <c r="AC115" s="40">
        <v>15.2</v>
      </c>
      <c r="AD115" s="40">
        <v>1300</v>
      </c>
      <c r="AE115" s="128">
        <v>156</v>
      </c>
      <c r="AF115" s="40">
        <v>3.83</v>
      </c>
      <c r="AG115" s="41">
        <v>1260</v>
      </c>
      <c r="AH115" s="40">
        <v>241</v>
      </c>
      <c r="AI115" s="41">
        <v>64.2</v>
      </c>
      <c r="AJ115" s="40">
        <v>399000</v>
      </c>
      <c r="AK115" s="40">
        <v>146</v>
      </c>
      <c r="AL115" s="40">
        <v>1020</v>
      </c>
      <c r="AM115" s="40">
        <v>231</v>
      </c>
      <c r="AN115" s="40">
        <v>622</v>
      </c>
      <c r="AO115" s="130" t="s">
        <v>298</v>
      </c>
      <c r="AP115" s="39" t="s">
        <v>69</v>
      </c>
      <c r="AQ115" s="40">
        <f t="shared" si="20"/>
        <v>162.33996147344621</v>
      </c>
      <c r="AR115" s="41">
        <f t="shared" si="30"/>
        <v>35.020000000000003</v>
      </c>
      <c r="AS115" s="37">
        <f t="shared" si="21"/>
        <v>527.49554918373997</v>
      </c>
      <c r="AT115" s="42">
        <f t="shared" si="22"/>
        <v>63000</v>
      </c>
      <c r="AU115" s="31">
        <f t="shared" si="23"/>
        <v>38850</v>
      </c>
      <c r="AV115" s="31">
        <f t="shared" si="24"/>
        <v>66.136191839299116</v>
      </c>
      <c r="AW115" s="37">
        <f t="shared" si="25"/>
        <v>24156.627936727549</v>
      </c>
      <c r="AX115" s="31">
        <f t="shared" si="26"/>
        <v>162.33996147344621</v>
      </c>
      <c r="AY115" s="42">
        <f t="shared" si="27"/>
        <v>72704.822242499198</v>
      </c>
      <c r="AZ115" s="42">
        <f t="shared" si="31"/>
        <v>26813857.009767581</v>
      </c>
      <c r="BA115" s="42">
        <f t="shared" si="28"/>
        <v>70135.242641663324</v>
      </c>
      <c r="BB115" s="42">
        <f t="shared" si="29"/>
        <v>12050</v>
      </c>
      <c r="BC115" s="38">
        <f t="shared" si="32"/>
        <v>34.07</v>
      </c>
      <c r="BD115" s="38">
        <f t="shared" si="33"/>
        <v>36.052910052910057</v>
      </c>
      <c r="BE115" s="38">
        <f t="shared" si="34"/>
        <v>34.6815</v>
      </c>
      <c r="BH115" s="34">
        <v>38.9</v>
      </c>
      <c r="BI115" s="43">
        <v>4.3899999999999997</v>
      </c>
    </row>
    <row r="116" spans="14:61">
      <c r="N116" s="30" t="s">
        <v>309</v>
      </c>
      <c r="O116" s="40">
        <v>82.4</v>
      </c>
      <c r="P116" s="128">
        <v>36.5</v>
      </c>
      <c r="Q116" s="128">
        <v>0.88500000000000001</v>
      </c>
      <c r="R116" s="128">
        <v>16.600000000000001</v>
      </c>
      <c r="S116" s="128">
        <v>1.57</v>
      </c>
      <c r="T116" s="40">
        <v>2.52</v>
      </c>
      <c r="U116" s="132">
        <v>1.625</v>
      </c>
      <c r="V116" s="40">
        <v>5.29</v>
      </c>
      <c r="W116" s="84" t="s">
        <v>127</v>
      </c>
      <c r="X116" s="35">
        <f t="shared" si="18"/>
        <v>37.694915254237287</v>
      </c>
      <c r="Y116" s="36">
        <f t="shared" si="19"/>
        <v>4.5108283957089279</v>
      </c>
      <c r="Z116" s="34">
        <v>1.4</v>
      </c>
      <c r="AA116" s="40">
        <v>18900</v>
      </c>
      <c r="AB116" s="128">
        <v>1030</v>
      </c>
      <c r="AC116" s="40">
        <v>15.1</v>
      </c>
      <c r="AD116" s="40">
        <v>1200</v>
      </c>
      <c r="AE116" s="128">
        <v>144</v>
      </c>
      <c r="AF116" s="40">
        <v>3.81</v>
      </c>
      <c r="AG116" s="41">
        <v>1170</v>
      </c>
      <c r="AH116" s="40">
        <v>223</v>
      </c>
      <c r="AI116" s="41">
        <v>52.6</v>
      </c>
      <c r="AJ116" s="40">
        <v>366000</v>
      </c>
      <c r="AK116" s="40">
        <v>145</v>
      </c>
      <c r="AL116" s="40">
        <v>944</v>
      </c>
      <c r="AM116" s="40">
        <v>216</v>
      </c>
      <c r="AN116" s="40">
        <v>579</v>
      </c>
      <c r="AO116" s="130" t="s">
        <v>298</v>
      </c>
      <c r="AP116" s="39" t="s">
        <v>69</v>
      </c>
      <c r="AQ116" s="40">
        <f t="shared" si="20"/>
        <v>161.49223321509925</v>
      </c>
      <c r="AR116" s="41">
        <f t="shared" si="30"/>
        <v>34.93</v>
      </c>
      <c r="AS116" s="37">
        <f t="shared" si="21"/>
        <v>511.41279276934296</v>
      </c>
      <c r="AT116" s="42">
        <f t="shared" si="22"/>
        <v>58500</v>
      </c>
      <c r="AU116" s="31">
        <f t="shared" si="23"/>
        <v>36050</v>
      </c>
      <c r="AV116" s="31">
        <f t="shared" si="24"/>
        <v>64.157419125639748</v>
      </c>
      <c r="AW116" s="37">
        <f t="shared" si="25"/>
        <v>23966.612743746617</v>
      </c>
      <c r="AX116" s="31">
        <f t="shared" si="26"/>
        <v>161.49223321509925</v>
      </c>
      <c r="AY116" s="42">
        <f t="shared" si="27"/>
        <v>67860.069153556702</v>
      </c>
      <c r="AZ116" s="42">
        <f t="shared" si="31"/>
        <v>24685611.126059014</v>
      </c>
      <c r="BA116" s="42">
        <f t="shared" si="28"/>
        <v>65132.968832519327</v>
      </c>
      <c r="BB116" s="42">
        <f t="shared" si="29"/>
        <v>11150</v>
      </c>
      <c r="BC116" s="38">
        <f t="shared" si="32"/>
        <v>33.979999999999997</v>
      </c>
      <c r="BD116" s="38">
        <f t="shared" si="33"/>
        <v>38.395480225988699</v>
      </c>
      <c r="BE116" s="38">
        <f t="shared" si="34"/>
        <v>32.302500000000002</v>
      </c>
      <c r="BH116" s="34">
        <v>41.3</v>
      </c>
      <c r="BI116" s="43">
        <v>4.37</v>
      </c>
    </row>
    <row r="117" spans="14:61">
      <c r="N117" s="30" t="s">
        <v>310</v>
      </c>
      <c r="O117" s="40">
        <v>76.5</v>
      </c>
      <c r="P117" s="128">
        <v>36.299999999999997</v>
      </c>
      <c r="Q117" s="128">
        <v>0.84</v>
      </c>
      <c r="R117" s="128">
        <v>16.600000000000001</v>
      </c>
      <c r="S117" s="128">
        <v>1.44</v>
      </c>
      <c r="T117" s="40">
        <v>2.39</v>
      </c>
      <c r="U117" s="132">
        <v>1.625</v>
      </c>
      <c r="V117" s="40">
        <v>5.75</v>
      </c>
      <c r="W117" s="84" t="s">
        <v>127</v>
      </c>
      <c r="X117" s="35">
        <f t="shared" si="18"/>
        <v>39.785714285714278</v>
      </c>
      <c r="Y117" s="36">
        <f t="shared" si="19"/>
        <v>4.4649386121282175</v>
      </c>
      <c r="Z117" s="34">
        <v>1.52</v>
      </c>
      <c r="AA117" s="40">
        <v>17300</v>
      </c>
      <c r="AB117" s="128">
        <v>953</v>
      </c>
      <c r="AC117" s="40">
        <v>15</v>
      </c>
      <c r="AD117" s="40">
        <v>1090</v>
      </c>
      <c r="AE117" s="128">
        <v>132</v>
      </c>
      <c r="AF117" s="40">
        <v>3.78</v>
      </c>
      <c r="AG117" s="41">
        <v>1080</v>
      </c>
      <c r="AH117" s="40">
        <v>204</v>
      </c>
      <c r="AI117" s="41">
        <v>41.5</v>
      </c>
      <c r="AJ117" s="40">
        <v>330000</v>
      </c>
      <c r="AK117" s="40">
        <v>144</v>
      </c>
      <c r="AL117" s="40">
        <v>858</v>
      </c>
      <c r="AM117" s="40">
        <v>197</v>
      </c>
      <c r="AN117" s="40">
        <v>532</v>
      </c>
      <c r="AO117" s="130" t="s">
        <v>298</v>
      </c>
      <c r="AP117" s="39" t="s">
        <v>69</v>
      </c>
      <c r="AQ117" s="40">
        <f t="shared" si="20"/>
        <v>160.22064082757876</v>
      </c>
      <c r="AR117" s="41">
        <f t="shared" si="30"/>
        <v>34.86</v>
      </c>
      <c r="AS117" s="37">
        <f t="shared" si="21"/>
        <v>490.69566016720836</v>
      </c>
      <c r="AT117" s="42">
        <f t="shared" si="22"/>
        <v>54000</v>
      </c>
      <c r="AU117" s="31">
        <f t="shared" si="23"/>
        <v>33355</v>
      </c>
      <c r="AV117" s="31">
        <f t="shared" si="24"/>
        <v>62.470682477767269</v>
      </c>
      <c r="AW117" s="37">
        <f t="shared" si="25"/>
        <v>23479.410900947492</v>
      </c>
      <c r="AX117" s="31">
        <f t="shared" si="26"/>
        <v>160.22064082757876</v>
      </c>
      <c r="AY117" s="42">
        <f t="shared" si="27"/>
        <v>63034.5501328709</v>
      </c>
      <c r="AZ117" s="42">
        <f t="shared" si="31"/>
        <v>22375878.58860296</v>
      </c>
      <c r="BA117" s="42">
        <f t="shared" si="28"/>
        <v>60099.672229281139</v>
      </c>
      <c r="BB117" s="42">
        <f t="shared" si="29"/>
        <v>10200</v>
      </c>
      <c r="BC117" s="38">
        <f t="shared" si="32"/>
        <v>33.909999999999997</v>
      </c>
      <c r="BD117" s="38">
        <f t="shared" si="33"/>
        <v>40.369047619047613</v>
      </c>
      <c r="BE117" s="38">
        <f t="shared" si="34"/>
        <v>30.491999999999997</v>
      </c>
      <c r="BH117" s="34">
        <v>43.2</v>
      </c>
      <c r="BI117" s="43">
        <v>4.34</v>
      </c>
    </row>
    <row r="118" spans="14:61">
      <c r="N118" s="30" t="s">
        <v>311</v>
      </c>
      <c r="O118" s="40">
        <v>75.400000000000006</v>
      </c>
      <c r="P118" s="128">
        <v>37.4</v>
      </c>
      <c r="Q118" s="128">
        <v>0.96</v>
      </c>
      <c r="R118" s="128">
        <v>12.2</v>
      </c>
      <c r="S118" s="128">
        <v>1.73</v>
      </c>
      <c r="T118" s="40">
        <v>2.48</v>
      </c>
      <c r="U118" s="132">
        <v>1.3125</v>
      </c>
      <c r="V118" s="40">
        <v>3.53</v>
      </c>
      <c r="W118" s="84" t="s">
        <v>127</v>
      </c>
      <c r="X118" s="35">
        <f t="shared" si="18"/>
        <v>35.354166666666664</v>
      </c>
      <c r="Y118" s="36">
        <f t="shared" si="19"/>
        <v>3.2437098562116984</v>
      </c>
      <c r="Z118" s="34">
        <v>1.77</v>
      </c>
      <c r="AA118" s="40">
        <v>16800</v>
      </c>
      <c r="AB118" s="128">
        <v>895</v>
      </c>
      <c r="AC118" s="40">
        <v>14.9</v>
      </c>
      <c r="AD118" s="40">
        <v>528</v>
      </c>
      <c r="AE118" s="128">
        <v>86.5</v>
      </c>
      <c r="AF118" s="40">
        <v>2.65</v>
      </c>
      <c r="AG118" s="41">
        <v>1040</v>
      </c>
      <c r="AH118" s="40">
        <v>137</v>
      </c>
      <c r="AI118" s="41">
        <v>52.9</v>
      </c>
      <c r="AJ118" s="40">
        <v>168000</v>
      </c>
      <c r="AK118" s="40">
        <v>109</v>
      </c>
      <c r="AL118" s="40">
        <v>576</v>
      </c>
      <c r="AM118" s="40">
        <v>174</v>
      </c>
      <c r="AN118" s="40">
        <v>516</v>
      </c>
      <c r="AO118" s="130" t="s">
        <v>312</v>
      </c>
      <c r="AP118" s="39" t="s">
        <v>69</v>
      </c>
      <c r="AQ118" s="40">
        <f t="shared" si="20"/>
        <v>112.32399423097453</v>
      </c>
      <c r="AR118" s="41">
        <f t="shared" si="30"/>
        <v>35.67</v>
      </c>
      <c r="AS118" s="37">
        <f t="shared" si="21"/>
        <v>378.13060296664185</v>
      </c>
      <c r="AT118" s="42">
        <f t="shared" si="22"/>
        <v>52000</v>
      </c>
      <c r="AU118" s="31">
        <f t="shared" si="23"/>
        <v>31325</v>
      </c>
      <c r="AV118" s="31">
        <f t="shared" si="24"/>
        <v>77.782114215829594</v>
      </c>
      <c r="AW118" s="37">
        <f t="shared" si="25"/>
        <v>12403.10051515978</v>
      </c>
      <c r="AX118" s="31">
        <f t="shared" si="26"/>
        <v>112.32399423097453</v>
      </c>
      <c r="AY118" s="42">
        <f t="shared" si="27"/>
        <v>59523.396766684906</v>
      </c>
      <c r="AZ118" s="42">
        <f t="shared" si="31"/>
        <v>11100774.961068003</v>
      </c>
      <c r="BA118" s="42">
        <f t="shared" si="28"/>
        <v>58108.535884736622</v>
      </c>
      <c r="BB118" s="42">
        <f t="shared" si="29"/>
        <v>6850</v>
      </c>
      <c r="BC118" s="38">
        <f t="shared" si="32"/>
        <v>34.92</v>
      </c>
      <c r="BD118" s="38">
        <f t="shared" si="33"/>
        <v>36.375</v>
      </c>
      <c r="BE118" s="38">
        <f t="shared" si="34"/>
        <v>35.903999999999996</v>
      </c>
      <c r="BH118" s="34">
        <v>39</v>
      </c>
      <c r="BI118" s="43">
        <v>3.14</v>
      </c>
    </row>
    <row r="119" spans="14:61">
      <c r="N119" s="30" t="s">
        <v>313</v>
      </c>
      <c r="O119" s="40">
        <v>72.099999999999994</v>
      </c>
      <c r="P119" s="128">
        <v>36.1</v>
      </c>
      <c r="Q119" s="128">
        <v>0.8</v>
      </c>
      <c r="R119" s="128">
        <v>16.5</v>
      </c>
      <c r="S119" s="128">
        <v>1.35</v>
      </c>
      <c r="T119" s="40">
        <v>2.2999999999999998</v>
      </c>
      <c r="U119" s="132">
        <v>1.625</v>
      </c>
      <c r="V119" s="40">
        <v>6.11</v>
      </c>
      <c r="W119" s="84" t="s">
        <v>127</v>
      </c>
      <c r="X119" s="35">
        <f t="shared" si="18"/>
        <v>41.749999999999993</v>
      </c>
      <c r="Y119" s="36">
        <f t="shared" si="19"/>
        <v>4.4280404130316313</v>
      </c>
      <c r="Z119" s="34">
        <v>1.62</v>
      </c>
      <c r="AA119" s="40">
        <v>16100</v>
      </c>
      <c r="AB119" s="128">
        <v>895</v>
      </c>
      <c r="AC119" s="40">
        <v>15</v>
      </c>
      <c r="AD119" s="40">
        <v>1010</v>
      </c>
      <c r="AE119" s="128">
        <v>123</v>
      </c>
      <c r="AF119" s="40">
        <v>3.75</v>
      </c>
      <c r="AG119" s="41">
        <v>1010</v>
      </c>
      <c r="AH119" s="40">
        <v>190</v>
      </c>
      <c r="AI119" s="41">
        <v>34.6</v>
      </c>
      <c r="AJ119" s="40">
        <v>305000</v>
      </c>
      <c r="AK119" s="40">
        <v>143</v>
      </c>
      <c r="AL119" s="40">
        <v>799</v>
      </c>
      <c r="AM119" s="40">
        <v>184</v>
      </c>
      <c r="AN119" s="40">
        <v>498</v>
      </c>
      <c r="AO119" s="130" t="s">
        <v>298</v>
      </c>
      <c r="AP119" s="39" t="s">
        <v>69</v>
      </c>
      <c r="AQ119" s="40">
        <f t="shared" si="20"/>
        <v>158.94904844005831</v>
      </c>
      <c r="AR119" s="41">
        <f t="shared" si="30"/>
        <v>34.75</v>
      </c>
      <c r="AS119" s="37">
        <f t="shared" si="21"/>
        <v>476.82120200958087</v>
      </c>
      <c r="AT119" s="42">
        <f t="shared" si="22"/>
        <v>50500</v>
      </c>
      <c r="AU119" s="31">
        <f t="shared" si="23"/>
        <v>31325</v>
      </c>
      <c r="AV119" s="31">
        <f t="shared" si="24"/>
        <v>60.322993960545816</v>
      </c>
      <c r="AW119" s="37">
        <f t="shared" si="25"/>
        <v>23091.650624678834</v>
      </c>
      <c r="AX119" s="31">
        <f t="shared" si="26"/>
        <v>158.94904844005831</v>
      </c>
      <c r="AY119" s="42">
        <f t="shared" si="27"/>
        <v>59147.243783299629</v>
      </c>
      <c r="AZ119" s="42">
        <f t="shared" si="31"/>
        <v>20667027.309087556</v>
      </c>
      <c r="BA119" s="42">
        <f t="shared" si="28"/>
        <v>56165.353111962497</v>
      </c>
      <c r="BB119" s="42">
        <f t="shared" si="29"/>
        <v>9500</v>
      </c>
      <c r="BC119" s="38">
        <f t="shared" si="32"/>
        <v>33.800000000000004</v>
      </c>
      <c r="BD119" s="38">
        <f t="shared" si="33"/>
        <v>42.25</v>
      </c>
      <c r="BE119" s="38">
        <f t="shared" si="34"/>
        <v>28.880000000000003</v>
      </c>
      <c r="BH119" s="34">
        <v>45.1</v>
      </c>
      <c r="BI119" s="43">
        <v>4.32</v>
      </c>
    </row>
    <row r="120" spans="14:61">
      <c r="N120" s="30" t="s">
        <v>314</v>
      </c>
      <c r="O120" s="40">
        <v>68.099999999999994</v>
      </c>
      <c r="P120" s="128">
        <v>37.1</v>
      </c>
      <c r="Q120" s="128">
        <v>0.87</v>
      </c>
      <c r="R120" s="128">
        <v>12.1</v>
      </c>
      <c r="S120" s="128">
        <v>1.57</v>
      </c>
      <c r="T120" s="40">
        <v>2.3199999999999998</v>
      </c>
      <c r="U120" s="132">
        <v>1.25</v>
      </c>
      <c r="V120" s="40">
        <v>3.86</v>
      </c>
      <c r="W120" s="84" t="s">
        <v>127</v>
      </c>
      <c r="X120" s="35">
        <f t="shared" si="18"/>
        <v>39.03448275862069</v>
      </c>
      <c r="Y120" s="36">
        <f t="shared" si="19"/>
        <v>3.2057619632689747</v>
      </c>
      <c r="Z120" s="34">
        <v>1.95</v>
      </c>
      <c r="AA120" s="40">
        <v>15000</v>
      </c>
      <c r="AB120" s="128">
        <v>809</v>
      </c>
      <c r="AC120" s="40">
        <v>14.8</v>
      </c>
      <c r="AD120" s="40">
        <v>468</v>
      </c>
      <c r="AE120" s="128">
        <v>77.2</v>
      </c>
      <c r="AF120" s="40">
        <v>2.62</v>
      </c>
      <c r="AG120" s="41">
        <v>936</v>
      </c>
      <c r="AH120" s="40">
        <v>122</v>
      </c>
      <c r="AI120" s="41">
        <v>39.6</v>
      </c>
      <c r="AJ120" s="40">
        <v>148000</v>
      </c>
      <c r="AK120" s="40">
        <v>108</v>
      </c>
      <c r="AL120" s="40">
        <v>512</v>
      </c>
      <c r="AM120" s="40">
        <v>157</v>
      </c>
      <c r="AN120" s="40">
        <v>464</v>
      </c>
      <c r="AO120" s="130" t="s">
        <v>312</v>
      </c>
      <c r="AP120" s="39" t="s">
        <v>69</v>
      </c>
      <c r="AQ120" s="40">
        <f t="shared" si="20"/>
        <v>111.05240184345408</v>
      </c>
      <c r="AR120" s="41">
        <f t="shared" si="30"/>
        <v>35.53</v>
      </c>
      <c r="AS120" s="37">
        <f t="shared" si="21"/>
        <v>359.02985974125227</v>
      </c>
      <c r="AT120" s="42">
        <f t="shared" si="22"/>
        <v>46800</v>
      </c>
      <c r="AU120" s="31">
        <f t="shared" si="23"/>
        <v>28315</v>
      </c>
      <c r="AV120" s="31">
        <f t="shared" si="24"/>
        <v>74.543065957303412</v>
      </c>
      <c r="AW120" s="37">
        <f t="shared" si="25"/>
        <v>12111.906063893997</v>
      </c>
      <c r="AX120" s="31">
        <f t="shared" si="26"/>
        <v>111.05240184345408</v>
      </c>
      <c r="AY120" s="42">
        <f t="shared" si="27"/>
        <v>53915.31468639963</v>
      </c>
      <c r="AZ120" s="42">
        <f t="shared" si="31"/>
        <v>9798532.0056902431</v>
      </c>
      <c r="BA120" s="42">
        <f t="shared" si="28"/>
        <v>52261.489036486404</v>
      </c>
      <c r="BB120" s="42">
        <f t="shared" si="29"/>
        <v>6100</v>
      </c>
      <c r="BC120" s="38">
        <f t="shared" si="32"/>
        <v>34.78</v>
      </c>
      <c r="BD120" s="38">
        <f t="shared" si="33"/>
        <v>39.977011494252878</v>
      </c>
      <c r="BE120" s="38">
        <f t="shared" si="34"/>
        <v>32.277000000000001</v>
      </c>
      <c r="BH120" s="34">
        <v>42.7</v>
      </c>
      <c r="BI120" s="43">
        <v>3.11</v>
      </c>
    </row>
    <row r="121" spans="14:61">
      <c r="N121" s="30" t="s">
        <v>315</v>
      </c>
      <c r="O121" s="40">
        <v>67.599999999999994</v>
      </c>
      <c r="P121" s="128">
        <v>35.9</v>
      </c>
      <c r="Q121" s="128">
        <v>0.76</v>
      </c>
      <c r="R121" s="128">
        <v>16.5</v>
      </c>
      <c r="S121" s="128">
        <v>1.26</v>
      </c>
      <c r="T121" s="40">
        <v>2.21</v>
      </c>
      <c r="U121" s="132">
        <v>1.5625</v>
      </c>
      <c r="V121" s="40">
        <v>6.54</v>
      </c>
      <c r="W121" s="84" t="s">
        <v>127</v>
      </c>
      <c r="X121" s="35">
        <f t="shared" si="18"/>
        <v>43.921052631578938</v>
      </c>
      <c r="Y121" s="36">
        <f t="shared" si="19"/>
        <v>4.4103711810458499</v>
      </c>
      <c r="Z121" s="34">
        <v>1.73</v>
      </c>
      <c r="AA121" s="40">
        <v>15000</v>
      </c>
      <c r="AB121" s="128">
        <v>837</v>
      </c>
      <c r="AC121" s="40">
        <v>14.9</v>
      </c>
      <c r="AD121" s="40">
        <v>940</v>
      </c>
      <c r="AE121" s="128">
        <v>114</v>
      </c>
      <c r="AF121" s="40">
        <v>3.73</v>
      </c>
      <c r="AG121" s="41">
        <v>943</v>
      </c>
      <c r="AH121" s="40">
        <v>176</v>
      </c>
      <c r="AI121" s="41">
        <v>28.6</v>
      </c>
      <c r="AJ121" s="40">
        <v>282000</v>
      </c>
      <c r="AK121" s="40">
        <v>143</v>
      </c>
      <c r="AL121" s="40">
        <v>740</v>
      </c>
      <c r="AM121" s="40">
        <v>171</v>
      </c>
      <c r="AN121" s="40">
        <v>465</v>
      </c>
      <c r="AO121" s="130" t="s">
        <v>298</v>
      </c>
      <c r="AP121" s="39" t="s">
        <v>69</v>
      </c>
      <c r="AQ121" s="40">
        <f t="shared" si="20"/>
        <v>158.10132018171132</v>
      </c>
      <c r="AR121" s="41">
        <f t="shared" si="30"/>
        <v>34.64</v>
      </c>
      <c r="AS121" s="37">
        <f t="shared" si="21"/>
        <v>465.95668603146203</v>
      </c>
      <c r="AT121" s="42">
        <f t="shared" si="22"/>
        <v>47150</v>
      </c>
      <c r="AU121" s="31">
        <f t="shared" si="23"/>
        <v>29295</v>
      </c>
      <c r="AV121" s="31">
        <f t="shared" si="24"/>
        <v>57.99801458946849</v>
      </c>
      <c r="AW121" s="37">
        <f t="shared" si="25"/>
        <v>22906.424064182054</v>
      </c>
      <c r="AX121" s="31">
        <f t="shared" si="26"/>
        <v>158.10132018171132</v>
      </c>
      <c r="AY121" s="42">
        <f t="shared" si="27"/>
        <v>55414.793646917416</v>
      </c>
      <c r="AZ121" s="42">
        <f t="shared" si="31"/>
        <v>19172676.941720378</v>
      </c>
      <c r="BA121" s="42">
        <f t="shared" si="28"/>
        <v>52425.352271921278</v>
      </c>
      <c r="BB121" s="42">
        <f t="shared" si="29"/>
        <v>8800</v>
      </c>
      <c r="BC121" s="38">
        <f t="shared" si="32"/>
        <v>33.69</v>
      </c>
      <c r="BD121" s="38">
        <f t="shared" si="33"/>
        <v>44.328947368421048</v>
      </c>
      <c r="BE121" s="38">
        <f t="shared" si="34"/>
        <v>27.283999999999999</v>
      </c>
      <c r="BH121" s="34">
        <v>47.2</v>
      </c>
      <c r="BI121" s="43">
        <v>4.3</v>
      </c>
    </row>
    <row r="122" spans="14:61">
      <c r="N122" s="30" t="s">
        <v>316</v>
      </c>
      <c r="O122" s="40">
        <v>61.8</v>
      </c>
      <c r="P122" s="128">
        <v>36.700000000000003</v>
      </c>
      <c r="Q122" s="128">
        <v>0.83</v>
      </c>
      <c r="R122" s="128">
        <v>12.2</v>
      </c>
      <c r="S122" s="128">
        <v>1.36</v>
      </c>
      <c r="T122" s="40">
        <v>2.11</v>
      </c>
      <c r="U122" s="132">
        <v>1.25</v>
      </c>
      <c r="V122" s="40">
        <v>4.4800000000000004</v>
      </c>
      <c r="W122" s="84" t="s">
        <v>127</v>
      </c>
      <c r="X122" s="35">
        <f t="shared" si="18"/>
        <v>40.939759036144586</v>
      </c>
      <c r="Y122" s="36">
        <f t="shared" si="19"/>
        <v>3.1781525585903756</v>
      </c>
      <c r="Z122" s="34">
        <v>2.21</v>
      </c>
      <c r="AA122" s="40">
        <v>13200</v>
      </c>
      <c r="AB122" s="128">
        <v>719</v>
      </c>
      <c r="AC122" s="40">
        <v>14.6</v>
      </c>
      <c r="AD122" s="40">
        <v>411</v>
      </c>
      <c r="AE122" s="128">
        <v>67.5</v>
      </c>
      <c r="AF122" s="40">
        <v>2.58</v>
      </c>
      <c r="AG122" s="41">
        <v>833</v>
      </c>
      <c r="AH122" s="40">
        <v>107</v>
      </c>
      <c r="AI122" s="41">
        <v>28</v>
      </c>
      <c r="AJ122" s="40">
        <v>128000</v>
      </c>
      <c r="AK122" s="40">
        <v>108</v>
      </c>
      <c r="AL122" s="40">
        <v>446</v>
      </c>
      <c r="AM122" s="40">
        <v>136</v>
      </c>
      <c r="AN122" s="40">
        <v>412</v>
      </c>
      <c r="AO122" s="130" t="s">
        <v>312</v>
      </c>
      <c r="AP122" s="39" t="s">
        <v>69</v>
      </c>
      <c r="AQ122" s="40">
        <f t="shared" si="20"/>
        <v>109.35694532676011</v>
      </c>
      <c r="AR122" s="41">
        <f t="shared" si="30"/>
        <v>35.340000000000003</v>
      </c>
      <c r="AS122" s="37">
        <f t="shared" si="21"/>
        <v>341.68874096724608</v>
      </c>
      <c r="AT122" s="42">
        <f t="shared" si="22"/>
        <v>41650</v>
      </c>
      <c r="AU122" s="31">
        <f t="shared" si="23"/>
        <v>25165</v>
      </c>
      <c r="AV122" s="31">
        <f t="shared" si="24"/>
        <v>70.954558563775578</v>
      </c>
      <c r="AW122" s="37">
        <f t="shared" si="25"/>
        <v>11901.365332182198</v>
      </c>
      <c r="AX122" s="31">
        <f t="shared" si="26"/>
        <v>109.35694532676011</v>
      </c>
      <c r="AY122" s="42">
        <f t="shared" si="27"/>
        <v>48302.482667948309</v>
      </c>
      <c r="AZ122" s="42">
        <f t="shared" si="31"/>
        <v>8557081.673839001</v>
      </c>
      <c r="BA122" s="42">
        <f t="shared" si="28"/>
        <v>46520.578672787582</v>
      </c>
      <c r="BB122" s="42">
        <f t="shared" si="29"/>
        <v>5350</v>
      </c>
      <c r="BC122" s="38">
        <f t="shared" si="32"/>
        <v>34.590000000000003</v>
      </c>
      <c r="BD122" s="38">
        <f t="shared" si="33"/>
        <v>41.674698795180731</v>
      </c>
      <c r="BE122" s="38">
        <f t="shared" si="34"/>
        <v>30.461000000000002</v>
      </c>
      <c r="BH122" s="34">
        <v>44.2</v>
      </c>
      <c r="BI122" s="43">
        <v>3.09</v>
      </c>
    </row>
    <row r="123" spans="14:61">
      <c r="N123" s="30" t="s">
        <v>317</v>
      </c>
      <c r="O123" s="40">
        <v>57</v>
      </c>
      <c r="P123" s="128">
        <v>36.5</v>
      </c>
      <c r="Q123" s="128">
        <v>0.76500000000000001</v>
      </c>
      <c r="R123" s="128">
        <v>12.1</v>
      </c>
      <c r="S123" s="128">
        <v>1.26</v>
      </c>
      <c r="T123" s="40">
        <v>2.0099999999999998</v>
      </c>
      <c r="U123" s="132">
        <v>1.1875</v>
      </c>
      <c r="V123" s="40">
        <v>4.8099999999999996</v>
      </c>
      <c r="W123" s="84" t="s">
        <v>127</v>
      </c>
      <c r="X123" s="35">
        <f t="shared" si="18"/>
        <v>44.41830065359477</v>
      </c>
      <c r="Y123" s="36">
        <f t="shared" si="19"/>
        <v>3.1545291592989706</v>
      </c>
      <c r="Z123" s="34">
        <v>2.39</v>
      </c>
      <c r="AA123" s="40">
        <v>12100</v>
      </c>
      <c r="AB123" s="128">
        <v>664</v>
      </c>
      <c r="AC123" s="40">
        <v>14.6</v>
      </c>
      <c r="AD123" s="40">
        <v>375</v>
      </c>
      <c r="AE123" s="128">
        <v>61.9</v>
      </c>
      <c r="AF123" s="40">
        <v>2.56</v>
      </c>
      <c r="AG123" s="41">
        <v>767</v>
      </c>
      <c r="AH123" s="40">
        <v>97.7</v>
      </c>
      <c r="AI123" s="41">
        <v>22.2</v>
      </c>
      <c r="AJ123" s="40">
        <v>116000</v>
      </c>
      <c r="AK123" s="40">
        <v>107</v>
      </c>
      <c r="AL123" s="40">
        <v>407</v>
      </c>
      <c r="AM123" s="40">
        <v>126</v>
      </c>
      <c r="AN123" s="40">
        <v>379</v>
      </c>
      <c r="AO123" s="130" t="s">
        <v>312</v>
      </c>
      <c r="AP123" s="39" t="s">
        <v>69</v>
      </c>
      <c r="AQ123" s="40">
        <f t="shared" si="20"/>
        <v>108.50921706841314</v>
      </c>
      <c r="AR123" s="41">
        <f t="shared" si="30"/>
        <v>35.24</v>
      </c>
      <c r="AS123" s="37">
        <f t="shared" si="21"/>
        <v>331.37014571481848</v>
      </c>
      <c r="AT123" s="42">
        <f t="shared" si="22"/>
        <v>38350</v>
      </c>
      <c r="AU123" s="31">
        <f t="shared" si="23"/>
        <v>23240</v>
      </c>
      <c r="AV123" s="31">
        <f t="shared" si="24"/>
        <v>67.800130295489183</v>
      </c>
      <c r="AW123" s="37">
        <f t="shared" si="25"/>
        <v>11723.568003834824</v>
      </c>
      <c r="AX123" s="31">
        <f t="shared" si="26"/>
        <v>108.50921706841314</v>
      </c>
      <c r="AY123" s="42">
        <f t="shared" si="27"/>
        <v>44649.257022890299</v>
      </c>
      <c r="AZ123" s="42">
        <f t="shared" si="31"/>
        <v>7784449.1545463232</v>
      </c>
      <c r="BA123" s="42">
        <f t="shared" si="28"/>
        <v>42814.327797744634</v>
      </c>
      <c r="BB123" s="42">
        <f t="shared" si="29"/>
        <v>4885</v>
      </c>
      <c r="BC123" s="38">
        <f t="shared" si="32"/>
        <v>34.49</v>
      </c>
      <c r="BD123" s="38">
        <f t="shared" si="33"/>
        <v>45.084967320261441</v>
      </c>
      <c r="BE123" s="38">
        <f t="shared" si="34"/>
        <v>27.922499999999999</v>
      </c>
      <c r="BH123" s="34">
        <v>47.7</v>
      </c>
      <c r="BI123" s="43">
        <v>3.07</v>
      </c>
    </row>
    <row r="124" spans="14:61">
      <c r="N124" s="30" t="s">
        <v>318</v>
      </c>
      <c r="O124" s="40">
        <v>53.6</v>
      </c>
      <c r="P124" s="128">
        <v>36.299999999999997</v>
      </c>
      <c r="Q124" s="128">
        <v>0.72499999999999998</v>
      </c>
      <c r="R124" s="128">
        <v>12.1</v>
      </c>
      <c r="S124" s="128">
        <v>1.18</v>
      </c>
      <c r="T124" s="40">
        <v>1.93</v>
      </c>
      <c r="U124" s="132">
        <v>1.1875</v>
      </c>
      <c r="V124" s="40">
        <v>5.12</v>
      </c>
      <c r="W124" s="84" t="s">
        <v>127</v>
      </c>
      <c r="X124" s="35">
        <f t="shared" si="18"/>
        <v>46.813793103448276</v>
      </c>
      <c r="Y124" s="36">
        <f t="shared" si="19"/>
        <v>3.1273966732485197</v>
      </c>
      <c r="Z124" s="34">
        <v>2.5499999999999998</v>
      </c>
      <c r="AA124" s="40">
        <v>11300</v>
      </c>
      <c r="AB124" s="128">
        <v>623</v>
      </c>
      <c r="AC124" s="40">
        <v>14.5</v>
      </c>
      <c r="AD124" s="40">
        <v>347</v>
      </c>
      <c r="AE124" s="128">
        <v>57.6</v>
      </c>
      <c r="AF124" s="40">
        <v>2.5499999999999998</v>
      </c>
      <c r="AG124" s="41">
        <v>718</v>
      </c>
      <c r="AH124" s="40">
        <v>90.7</v>
      </c>
      <c r="AI124" s="41">
        <v>18.5</v>
      </c>
      <c r="AJ124" s="40">
        <v>107000</v>
      </c>
      <c r="AK124" s="40">
        <v>106</v>
      </c>
      <c r="AL124" s="40">
        <v>378</v>
      </c>
      <c r="AM124" s="40">
        <v>118</v>
      </c>
      <c r="AN124" s="40">
        <v>355</v>
      </c>
      <c r="AO124" s="130" t="s">
        <v>312</v>
      </c>
      <c r="AP124" s="39" t="s">
        <v>69</v>
      </c>
      <c r="AQ124" s="40">
        <f t="shared" si="20"/>
        <v>108.08535293923964</v>
      </c>
      <c r="AR124" s="41">
        <f t="shared" si="30"/>
        <v>35.119999999999997</v>
      </c>
      <c r="AS124" s="37">
        <f t="shared" si="21"/>
        <v>323.3662687398438</v>
      </c>
      <c r="AT124" s="42">
        <f t="shared" si="22"/>
        <v>35900</v>
      </c>
      <c r="AU124" s="31">
        <f t="shared" si="23"/>
        <v>21805</v>
      </c>
      <c r="AV124" s="31">
        <f t="shared" si="24"/>
        <v>65.472594017831852</v>
      </c>
      <c r="AW124" s="37">
        <f t="shared" si="25"/>
        <v>11521.792984084615</v>
      </c>
      <c r="AX124" s="31">
        <f t="shared" si="26"/>
        <v>108.08535293923964</v>
      </c>
      <c r="AY124" s="42">
        <f t="shared" si="27"/>
        <v>41955.25596558673</v>
      </c>
      <c r="AZ124" s="42">
        <f t="shared" si="31"/>
        <v>7178077.0290847151</v>
      </c>
      <c r="BA124" s="42">
        <f t="shared" si="28"/>
        <v>40064.440788167478</v>
      </c>
      <c r="BB124" s="42">
        <f t="shared" si="29"/>
        <v>4535</v>
      </c>
      <c r="BC124" s="38">
        <f t="shared" si="32"/>
        <v>34.369999999999997</v>
      </c>
      <c r="BD124" s="38">
        <f t="shared" si="33"/>
        <v>47.406896551724138</v>
      </c>
      <c r="BE124" s="38">
        <f t="shared" si="34"/>
        <v>26.317499999999995</v>
      </c>
      <c r="BH124" s="34">
        <v>50.1</v>
      </c>
      <c r="BI124" s="43">
        <v>3.05</v>
      </c>
    </row>
    <row r="125" spans="14:61">
      <c r="N125" s="30" t="s">
        <v>319</v>
      </c>
      <c r="O125" s="40">
        <v>50.1</v>
      </c>
      <c r="P125" s="128">
        <v>36.200000000000003</v>
      </c>
      <c r="Q125" s="128">
        <v>0.68</v>
      </c>
      <c r="R125" s="128">
        <v>12</v>
      </c>
      <c r="S125" s="128">
        <v>1.1000000000000001</v>
      </c>
      <c r="T125" s="40">
        <v>1.85</v>
      </c>
      <c r="U125" s="132">
        <v>1.1875</v>
      </c>
      <c r="V125" s="40">
        <v>5.47</v>
      </c>
      <c r="W125" s="84" t="s">
        <v>127</v>
      </c>
      <c r="X125" s="35">
        <f t="shared" si="18"/>
        <v>49.999999999999993</v>
      </c>
      <c r="Y125" s="36">
        <f t="shared" si="19"/>
        <v>3.1090340852427749</v>
      </c>
      <c r="Z125" s="34">
        <v>2.73</v>
      </c>
      <c r="AA125" s="40">
        <v>10500</v>
      </c>
      <c r="AB125" s="128">
        <v>581</v>
      </c>
      <c r="AC125" s="40">
        <v>14.5</v>
      </c>
      <c r="AD125" s="40">
        <v>320</v>
      </c>
      <c r="AE125" s="128">
        <v>53.2</v>
      </c>
      <c r="AF125" s="40">
        <v>2.5299999999999998</v>
      </c>
      <c r="AG125" s="41">
        <v>668</v>
      </c>
      <c r="AH125" s="40">
        <v>83.8</v>
      </c>
      <c r="AI125" s="41">
        <v>15.1</v>
      </c>
      <c r="AJ125" s="40">
        <v>98400</v>
      </c>
      <c r="AK125" s="40">
        <v>105</v>
      </c>
      <c r="AL125" s="40">
        <v>349</v>
      </c>
      <c r="AM125" s="40">
        <v>109</v>
      </c>
      <c r="AN125" s="40">
        <v>330</v>
      </c>
      <c r="AO125" s="130" t="s">
        <v>312</v>
      </c>
      <c r="AP125" s="39" t="s">
        <v>69</v>
      </c>
      <c r="AQ125" s="40">
        <f t="shared" si="20"/>
        <v>107.23762468089267</v>
      </c>
      <c r="AR125" s="41">
        <f t="shared" si="30"/>
        <v>35.1</v>
      </c>
      <c r="AS125" s="37">
        <f t="shared" si="21"/>
        <v>316.29129863117305</v>
      </c>
      <c r="AT125" s="42">
        <f t="shared" si="22"/>
        <v>33400</v>
      </c>
      <c r="AU125" s="31">
        <f t="shared" si="23"/>
        <v>20335</v>
      </c>
      <c r="AV125" s="31">
        <f t="shared" si="24"/>
        <v>62.495911949900837</v>
      </c>
      <c r="AW125" s="37">
        <f t="shared" si="25"/>
        <v>11385.826677516068</v>
      </c>
      <c r="AX125" s="31">
        <f t="shared" si="26"/>
        <v>107.23762468089267</v>
      </c>
      <c r="AY125" s="42">
        <f t="shared" si="27"/>
        <v>39126.976923355127</v>
      </c>
      <c r="AZ125" s="42">
        <f t="shared" si="31"/>
        <v>6615165.2996368352</v>
      </c>
      <c r="BA125" s="42">
        <f t="shared" si="28"/>
        <v>37260.121950862587</v>
      </c>
      <c r="BB125" s="42">
        <f t="shared" si="29"/>
        <v>4190</v>
      </c>
      <c r="BC125" s="38">
        <f t="shared" si="32"/>
        <v>34.35</v>
      </c>
      <c r="BD125" s="38">
        <f t="shared" si="33"/>
        <v>50.514705882352942</v>
      </c>
      <c r="BE125" s="38">
        <f t="shared" si="34"/>
        <v>24.616000000000003</v>
      </c>
      <c r="BH125" s="34">
        <v>53.2</v>
      </c>
      <c r="BI125" s="43">
        <v>3.04</v>
      </c>
    </row>
    <row r="126" spans="14:61">
      <c r="N126" s="30" t="s">
        <v>320</v>
      </c>
      <c r="O126" s="40">
        <v>47</v>
      </c>
      <c r="P126" s="128">
        <v>36</v>
      </c>
      <c r="Q126" s="128">
        <v>0.65</v>
      </c>
      <c r="R126" s="128">
        <v>12</v>
      </c>
      <c r="S126" s="128">
        <v>1.02</v>
      </c>
      <c r="T126" s="40">
        <v>1.77</v>
      </c>
      <c r="U126" s="132">
        <v>1.125</v>
      </c>
      <c r="V126" s="40">
        <v>5.88</v>
      </c>
      <c r="W126" s="84" t="s">
        <v>127</v>
      </c>
      <c r="X126" s="35">
        <f t="shared" si="18"/>
        <v>52.246153846153845</v>
      </c>
      <c r="Y126" s="36">
        <f t="shared" si="19"/>
        <v>3.0853630166723405</v>
      </c>
      <c r="Z126" s="34">
        <v>2.94</v>
      </c>
      <c r="AA126" s="40">
        <v>9760</v>
      </c>
      <c r="AB126" s="128">
        <v>542</v>
      </c>
      <c r="AC126" s="40">
        <v>14.4</v>
      </c>
      <c r="AD126" s="40">
        <v>295</v>
      </c>
      <c r="AE126" s="128">
        <v>49.1</v>
      </c>
      <c r="AF126" s="40">
        <v>2.5</v>
      </c>
      <c r="AG126" s="41">
        <v>624</v>
      </c>
      <c r="AH126" s="40">
        <v>77.3</v>
      </c>
      <c r="AI126" s="41">
        <v>12.4</v>
      </c>
      <c r="AJ126" s="40">
        <v>90300</v>
      </c>
      <c r="AK126" s="40">
        <v>105</v>
      </c>
      <c r="AL126" s="40">
        <v>321</v>
      </c>
      <c r="AM126" s="40">
        <v>101</v>
      </c>
      <c r="AN126" s="40">
        <v>308</v>
      </c>
      <c r="AO126" s="130" t="s">
        <v>312</v>
      </c>
      <c r="AP126" s="39" t="s">
        <v>69</v>
      </c>
      <c r="AQ126" s="40">
        <f t="shared" si="20"/>
        <v>105.96603229337221</v>
      </c>
      <c r="AR126" s="41">
        <f t="shared" si="30"/>
        <v>34.979999999999997</v>
      </c>
      <c r="AS126" s="37">
        <f t="shared" si="21"/>
        <v>309.69269828548795</v>
      </c>
      <c r="AT126" s="42">
        <f t="shared" si="22"/>
        <v>31200</v>
      </c>
      <c r="AU126" s="31">
        <f t="shared" si="23"/>
        <v>18970</v>
      </c>
      <c r="AV126" s="31">
        <f t="shared" si="24"/>
        <v>60.031414839298968</v>
      </c>
      <c r="AW126" s="37">
        <f t="shared" si="25"/>
        <v>11212.272235456705</v>
      </c>
      <c r="AX126" s="31">
        <f t="shared" si="26"/>
        <v>105.96603229337221</v>
      </c>
      <c r="AY126" s="42">
        <f t="shared" si="27"/>
        <v>36624.800771984912</v>
      </c>
      <c r="AZ126" s="42">
        <f t="shared" si="31"/>
        <v>6077051.5516175339</v>
      </c>
      <c r="BA126" s="42">
        <f t="shared" si="28"/>
        <v>34813.416874018323</v>
      </c>
      <c r="BB126" s="42">
        <f t="shared" si="29"/>
        <v>3865</v>
      </c>
      <c r="BC126" s="38">
        <f t="shared" si="32"/>
        <v>34.229999999999997</v>
      </c>
      <c r="BD126" s="38">
        <f t="shared" si="33"/>
        <v>52.661538461538456</v>
      </c>
      <c r="BE126" s="38">
        <f t="shared" si="34"/>
        <v>23.400000000000002</v>
      </c>
      <c r="BH126" s="34">
        <v>55.4</v>
      </c>
      <c r="BI126" s="43">
        <v>3.02</v>
      </c>
    </row>
    <row r="127" spans="14:61">
      <c r="N127" s="30" t="s">
        <v>321</v>
      </c>
      <c r="O127" s="40">
        <v>44.2</v>
      </c>
      <c r="P127" s="128">
        <v>35.9</v>
      </c>
      <c r="Q127" s="128">
        <v>0.625</v>
      </c>
      <c r="R127" s="128">
        <v>12</v>
      </c>
      <c r="S127" s="128">
        <v>0.94</v>
      </c>
      <c r="T127" s="40">
        <v>1.69</v>
      </c>
      <c r="U127" s="132">
        <v>1.125</v>
      </c>
      <c r="V127" s="40">
        <v>6.37</v>
      </c>
      <c r="W127" s="84" t="s">
        <v>127</v>
      </c>
      <c r="X127" s="35">
        <f t="shared" si="18"/>
        <v>54.431999999999995</v>
      </c>
      <c r="Y127" s="36">
        <f t="shared" si="19"/>
        <v>3.0601120427666886</v>
      </c>
      <c r="Z127" s="34">
        <v>3.18</v>
      </c>
      <c r="AA127" s="40">
        <v>9040</v>
      </c>
      <c r="AB127" s="128">
        <v>504</v>
      </c>
      <c r="AC127" s="40">
        <v>14.3</v>
      </c>
      <c r="AD127" s="40">
        <v>270</v>
      </c>
      <c r="AE127" s="128">
        <v>45.1</v>
      </c>
      <c r="AF127" s="40">
        <v>2.4700000000000002</v>
      </c>
      <c r="AG127" s="41">
        <v>581</v>
      </c>
      <c r="AH127" s="40">
        <v>70.900000000000006</v>
      </c>
      <c r="AI127" s="41">
        <v>10.1</v>
      </c>
      <c r="AJ127" s="40">
        <v>82300</v>
      </c>
      <c r="AK127" s="40">
        <v>105</v>
      </c>
      <c r="AL127" s="40">
        <v>294</v>
      </c>
      <c r="AM127" s="40">
        <v>93.1</v>
      </c>
      <c r="AN127" s="40">
        <v>287</v>
      </c>
      <c r="AO127" s="130" t="s">
        <v>312</v>
      </c>
      <c r="AP127" s="39" t="s">
        <v>69</v>
      </c>
      <c r="AQ127" s="40">
        <f t="shared" si="20"/>
        <v>104.69443990585174</v>
      </c>
      <c r="AR127" s="41">
        <f t="shared" si="30"/>
        <v>34.96</v>
      </c>
      <c r="AS127" s="37">
        <f t="shared" si="21"/>
        <v>303.30063177102716</v>
      </c>
      <c r="AT127" s="42">
        <f t="shared" si="22"/>
        <v>29050</v>
      </c>
      <c r="AU127" s="31">
        <f t="shared" si="23"/>
        <v>17640</v>
      </c>
      <c r="AV127" s="31">
        <f t="shared" si="24"/>
        <v>57.450373993101501</v>
      </c>
      <c r="AW127" s="37">
        <f t="shared" si="25"/>
        <v>11028.714829303317</v>
      </c>
      <c r="AX127" s="31">
        <f t="shared" si="26"/>
        <v>104.69443990585174</v>
      </c>
      <c r="AY127" s="42">
        <f t="shared" si="27"/>
        <v>34168.50889329709</v>
      </c>
      <c r="AZ127" s="42">
        <f t="shared" si="31"/>
        <v>5558472.2739688717</v>
      </c>
      <c r="BA127" s="42">
        <f t="shared" si="28"/>
        <v>32421.143624901808</v>
      </c>
      <c r="BB127" s="42">
        <f t="shared" si="29"/>
        <v>3545.0000000000005</v>
      </c>
      <c r="BC127" s="38">
        <f t="shared" si="32"/>
        <v>34.21</v>
      </c>
      <c r="BD127" s="38">
        <f t="shared" si="33"/>
        <v>54.736000000000004</v>
      </c>
      <c r="BE127" s="38">
        <f t="shared" si="34"/>
        <v>22.4375</v>
      </c>
      <c r="BH127" s="34">
        <v>57.4</v>
      </c>
      <c r="BI127" s="43">
        <v>2.99</v>
      </c>
    </row>
    <row r="128" spans="14:61">
      <c r="N128" s="30" t="s">
        <v>322</v>
      </c>
      <c r="O128" s="40">
        <v>39.700000000000003</v>
      </c>
      <c r="P128" s="128">
        <v>35.6</v>
      </c>
      <c r="Q128" s="128">
        <v>0.6</v>
      </c>
      <c r="R128" s="128">
        <v>12</v>
      </c>
      <c r="S128" s="128">
        <v>0.79</v>
      </c>
      <c r="T128" s="40">
        <v>1.54</v>
      </c>
      <c r="U128" s="132">
        <v>1.125</v>
      </c>
      <c r="V128" s="40">
        <v>7.56</v>
      </c>
      <c r="W128" s="84" t="s">
        <v>127</v>
      </c>
      <c r="X128" s="35">
        <f t="shared" si="18"/>
        <v>56.70000000000001</v>
      </c>
      <c r="Y128" s="36">
        <f t="shared" si="19"/>
        <v>2.9867303337530098</v>
      </c>
      <c r="Z128" s="34">
        <v>3.77</v>
      </c>
      <c r="AA128" s="40">
        <v>7800</v>
      </c>
      <c r="AB128" s="128">
        <v>439</v>
      </c>
      <c r="AC128" s="40">
        <v>14</v>
      </c>
      <c r="AD128" s="40">
        <v>225</v>
      </c>
      <c r="AE128" s="128">
        <v>37.700000000000003</v>
      </c>
      <c r="AF128" s="40">
        <v>2.38</v>
      </c>
      <c r="AG128" s="41">
        <v>509</v>
      </c>
      <c r="AH128" s="40">
        <v>59.7</v>
      </c>
      <c r="AI128" s="41">
        <v>7</v>
      </c>
      <c r="AJ128" s="40">
        <v>68000</v>
      </c>
      <c r="AK128" s="40">
        <v>104</v>
      </c>
      <c r="AL128" s="40">
        <v>245</v>
      </c>
      <c r="AM128" s="40">
        <v>77.900000000000006</v>
      </c>
      <c r="AN128" s="40">
        <v>251</v>
      </c>
      <c r="AO128" s="130" t="s">
        <v>312</v>
      </c>
      <c r="AP128" s="39" t="s">
        <v>69</v>
      </c>
      <c r="AQ128" s="40">
        <f t="shared" si="20"/>
        <v>100.87966274329033</v>
      </c>
      <c r="AR128" s="41">
        <f t="shared" si="30"/>
        <v>34.81</v>
      </c>
      <c r="AS128" s="37">
        <f t="shared" si="21"/>
        <v>290.71630185650611</v>
      </c>
      <c r="AT128" s="42">
        <f t="shared" si="22"/>
        <v>25450</v>
      </c>
      <c r="AU128" s="31">
        <f t="shared" si="23"/>
        <v>15365</v>
      </c>
      <c r="AV128" s="31">
        <f t="shared" si="24"/>
        <v>53.124623608540894</v>
      </c>
      <c r="AW128" s="37">
        <f t="shared" si="25"/>
        <v>10505.13562530327</v>
      </c>
      <c r="AX128" s="31">
        <f t="shared" si="26"/>
        <v>100.87966274329033</v>
      </c>
      <c r="AY128" s="42">
        <f t="shared" si="27"/>
        <v>29980.449984700608</v>
      </c>
      <c r="AZ128" s="42">
        <f t="shared" si="31"/>
        <v>4611754.539508136</v>
      </c>
      <c r="BA128" s="42">
        <f t="shared" si="28"/>
        <v>28429.665508951333</v>
      </c>
      <c r="BB128" s="42">
        <f t="shared" si="29"/>
        <v>2985</v>
      </c>
      <c r="BC128" s="38">
        <f t="shared" si="32"/>
        <v>34.06</v>
      </c>
      <c r="BD128" s="38">
        <f t="shared" si="33"/>
        <v>56.766666666666673</v>
      </c>
      <c r="BE128" s="38">
        <f t="shared" si="34"/>
        <v>21.36</v>
      </c>
      <c r="BH128" s="34">
        <v>59.3</v>
      </c>
      <c r="BI128" s="43">
        <v>2.93</v>
      </c>
    </row>
    <row r="129" spans="14:61">
      <c r="N129" s="123" t="s">
        <v>323</v>
      </c>
      <c r="O129" s="80">
        <v>181</v>
      </c>
      <c r="P129" s="124">
        <v>38.47</v>
      </c>
      <c r="Q129" s="124">
        <v>1.97</v>
      </c>
      <c r="R129" s="124">
        <v>16.91</v>
      </c>
      <c r="S129" s="124">
        <v>3.54</v>
      </c>
      <c r="T129" s="80">
        <v>4.375</v>
      </c>
      <c r="U129" s="80">
        <v>1.75</v>
      </c>
      <c r="V129" s="80">
        <v>2.4</v>
      </c>
      <c r="W129" s="125" t="s">
        <v>127</v>
      </c>
      <c r="X129" s="35">
        <f t="shared" si="18"/>
        <v>15.934010152284264</v>
      </c>
      <c r="Y129" s="36">
        <f t="shared" si="19"/>
        <v>4.8061284801534319</v>
      </c>
      <c r="Z129" s="80">
        <v>0.64</v>
      </c>
      <c r="AA129" s="80">
        <v>41800</v>
      </c>
      <c r="AB129" s="124">
        <v>2170</v>
      </c>
      <c r="AC129" s="80">
        <v>15.2</v>
      </c>
      <c r="AD129" s="80">
        <v>2870</v>
      </c>
      <c r="AE129" s="124">
        <v>340</v>
      </c>
      <c r="AF129" s="80">
        <v>3.98</v>
      </c>
      <c r="AG129" s="81">
        <v>2560</v>
      </c>
      <c r="AH129" s="80">
        <v>537</v>
      </c>
      <c r="AI129" s="81">
        <v>567</v>
      </c>
      <c r="AJ129" s="80">
        <v>870000</v>
      </c>
      <c r="AK129" s="80">
        <v>148</v>
      </c>
      <c r="AL129" s="80">
        <v>2210</v>
      </c>
      <c r="AM129" s="80">
        <v>463</v>
      </c>
      <c r="AN129" s="80">
        <v>1280</v>
      </c>
      <c r="AO129" s="125" t="s">
        <v>324</v>
      </c>
      <c r="AP129" s="126" t="s">
        <v>69</v>
      </c>
      <c r="AQ129" s="40">
        <f t="shared" si="20"/>
        <v>168.69792341104855</v>
      </c>
      <c r="AR129" s="41">
        <f t="shared" si="30"/>
        <v>34.93</v>
      </c>
      <c r="AS129" s="37">
        <f t="shared" si="21"/>
        <v>969.65012509264056</v>
      </c>
      <c r="AT129" s="42">
        <f t="shared" si="22"/>
        <v>128000</v>
      </c>
      <c r="AU129" s="31">
        <f t="shared" si="23"/>
        <v>75950</v>
      </c>
      <c r="AV129" s="31">
        <f t="shared" si="24"/>
        <v>64.985151287082417</v>
      </c>
      <c r="AW129" s="37">
        <f t="shared" si="25"/>
        <v>27272.163917477479</v>
      </c>
      <c r="AX129" s="31">
        <f t="shared" si="26"/>
        <v>168.69792341104855</v>
      </c>
      <c r="AY129" s="42">
        <f t="shared" si="27"/>
        <v>137949.09171460514</v>
      </c>
      <c r="AZ129" s="42">
        <f t="shared" si="31"/>
        <v>59180595.700926133</v>
      </c>
      <c r="BA129" s="42">
        <f t="shared" si="28"/>
        <v>143378.44221526195</v>
      </c>
      <c r="BB129" s="42">
        <f t="shared" si="29"/>
        <v>26850</v>
      </c>
      <c r="BC129" s="38">
        <f t="shared" si="32"/>
        <v>34.094999999999999</v>
      </c>
      <c r="BD129" s="38">
        <f t="shared" si="33"/>
        <v>17.30710659898477</v>
      </c>
      <c r="BE129" s="38">
        <f t="shared" si="34"/>
        <v>75.785899999999998</v>
      </c>
      <c r="BH129" s="80">
        <v>19.5</v>
      </c>
      <c r="BI129" s="81">
        <v>4.51</v>
      </c>
    </row>
    <row r="130" spans="14:61">
      <c r="N130" s="123" t="s">
        <v>325</v>
      </c>
      <c r="O130" s="80">
        <v>166</v>
      </c>
      <c r="P130" s="124">
        <v>37.909999999999997</v>
      </c>
      <c r="Q130" s="124">
        <v>1.81</v>
      </c>
      <c r="R130" s="124">
        <v>16.75</v>
      </c>
      <c r="S130" s="124">
        <v>3.27</v>
      </c>
      <c r="T130" s="80">
        <v>4.0625</v>
      </c>
      <c r="U130" s="80">
        <v>1.6875</v>
      </c>
      <c r="V130" s="80">
        <v>2.6</v>
      </c>
      <c r="W130" s="125" t="s">
        <v>127</v>
      </c>
      <c r="X130" s="35">
        <f t="shared" ref="X130:X193" si="35">(P130-(2*S130))/Q130</f>
        <v>17.33149171270718</v>
      </c>
      <c r="Y130" s="36">
        <f t="shared" ref="Y130:Y193" si="36">((AD130*AR130)/(2*AB130))^0.5</f>
        <v>4.738678653051335</v>
      </c>
      <c r="Z130" s="80">
        <v>0.69</v>
      </c>
      <c r="AA130" s="80">
        <v>37700</v>
      </c>
      <c r="AB130" s="124">
        <v>1990</v>
      </c>
      <c r="AC130" s="80">
        <v>15.1</v>
      </c>
      <c r="AD130" s="80">
        <v>2580</v>
      </c>
      <c r="AE130" s="124">
        <v>308</v>
      </c>
      <c r="AF130" s="80">
        <v>3.94</v>
      </c>
      <c r="AG130" s="81">
        <v>2330</v>
      </c>
      <c r="AH130" s="80">
        <v>485</v>
      </c>
      <c r="AI130" s="81">
        <v>444</v>
      </c>
      <c r="AJ130" s="80">
        <v>768000</v>
      </c>
      <c r="AK130" s="80">
        <v>145</v>
      </c>
      <c r="AL130" s="80">
        <v>1990</v>
      </c>
      <c r="AM130" s="80">
        <v>425</v>
      </c>
      <c r="AN130" s="80">
        <v>1170</v>
      </c>
      <c r="AO130" s="125" t="s">
        <v>324</v>
      </c>
      <c r="AP130" s="126" t="s">
        <v>69</v>
      </c>
      <c r="AQ130" s="40">
        <f t="shared" ref="AQ130:AQ193" si="37">1.76*AF130*($B$10/$B$11)^0.5</f>
        <v>167.0024668943546</v>
      </c>
      <c r="AR130" s="41">
        <f t="shared" si="30"/>
        <v>34.639999999999993</v>
      </c>
      <c r="AS130" s="37">
        <f t="shared" ref="AS130:AS193" si="38">((1.95*Y130*$B$10)/(0.7*$B$11))*(((AI130*1)/(AB130*AR130))^0.5)*(1+(1+(6.76*(((0.7*$B$11*AB130*AR130)/($B$10*AI130*1))^2)))^0.5)^0.5</f>
        <v>893.06254316768752</v>
      </c>
      <c r="AT130" s="42">
        <f t="shared" ref="AT130:AT193" si="39">$B$11*AG130</f>
        <v>116500</v>
      </c>
      <c r="AU130" s="31">
        <f t="shared" ref="AU130:AU193" si="40">0.7*$B$11*AB130</f>
        <v>69650</v>
      </c>
      <c r="AV130" s="31">
        <f t="shared" ref="AV130:AV193" si="41">(AT130-AU130)/(AS130-AQ130)</f>
        <v>64.526340906207366</v>
      </c>
      <c r="AW130" s="37">
        <f t="shared" ref="AW130:AW193" si="42">(($B$28*(3.142857143^2)*$B$10)/(($B$20*12)/Y130)^2)*((1+((0.078*AI130*(((12*$B$20)/Y130)^2))/(AB130*AR130)))^0.5)</f>
        <v>26502.797271857318</v>
      </c>
      <c r="AX130" s="31">
        <f t="shared" ref="AX130:AX193" si="43">AQ130+((AT130*($B$28-1))/(AV130*$B$28))</f>
        <v>167.0024668943546</v>
      </c>
      <c r="AY130" s="42">
        <f t="shared" ref="AY130:AY193" si="44">$B$28*(AT130-(AV130*(($B$20*12)-AQ130)))</f>
        <v>126269.4471928659</v>
      </c>
      <c r="AZ130" s="42">
        <f t="shared" si="31"/>
        <v>52740566.570996061</v>
      </c>
      <c r="BA130" s="42">
        <f t="shared" ref="BA130:BA193" si="45">AT130-((AT130-(0.7*$B$11*AB130))*($J$17))</f>
        <v>130342.07526964502</v>
      </c>
      <c r="BB130" s="42">
        <f t="shared" ref="BB130:BB193" si="46">AH130*$B$11</f>
        <v>24250</v>
      </c>
      <c r="BC130" s="38">
        <f t="shared" si="32"/>
        <v>33.847499999999997</v>
      </c>
      <c r="BD130" s="38">
        <f t="shared" si="33"/>
        <v>18.700276243093921</v>
      </c>
      <c r="BE130" s="38">
        <f t="shared" si="34"/>
        <v>68.617099999999994</v>
      </c>
      <c r="BH130" s="80">
        <v>20.9</v>
      </c>
      <c r="BI130" s="81">
        <v>4.46</v>
      </c>
    </row>
    <row r="131" spans="14:61">
      <c r="N131" s="123" t="s">
        <v>326</v>
      </c>
      <c r="O131" s="80">
        <v>151</v>
      </c>
      <c r="P131" s="124">
        <v>37.36</v>
      </c>
      <c r="Q131" s="124">
        <v>1.65</v>
      </c>
      <c r="R131" s="124">
        <v>16.59</v>
      </c>
      <c r="S131" s="124">
        <v>2.99</v>
      </c>
      <c r="T131" s="80">
        <v>3.8125</v>
      </c>
      <c r="U131" s="80">
        <v>1.625</v>
      </c>
      <c r="V131" s="80">
        <v>2.8</v>
      </c>
      <c r="W131" s="125" t="s">
        <v>127</v>
      </c>
      <c r="X131" s="35">
        <f t="shared" si="35"/>
        <v>19.018181818181819</v>
      </c>
      <c r="Y131" s="36">
        <f t="shared" si="36"/>
        <v>4.6628690809734668</v>
      </c>
      <c r="Z131" s="80">
        <v>0.75</v>
      </c>
      <c r="AA131" s="80">
        <v>33700</v>
      </c>
      <c r="AB131" s="124">
        <v>1810</v>
      </c>
      <c r="AC131" s="80">
        <v>14.9</v>
      </c>
      <c r="AD131" s="80">
        <v>2290</v>
      </c>
      <c r="AE131" s="124">
        <v>276</v>
      </c>
      <c r="AF131" s="80">
        <v>3.89</v>
      </c>
      <c r="AG131" s="81">
        <v>2110</v>
      </c>
      <c r="AH131" s="80">
        <v>433</v>
      </c>
      <c r="AI131" s="81">
        <v>338</v>
      </c>
      <c r="AJ131" s="80">
        <v>672000</v>
      </c>
      <c r="AK131" s="80">
        <v>143</v>
      </c>
      <c r="AL131" s="80">
        <v>1770</v>
      </c>
      <c r="AM131" s="80">
        <v>385</v>
      </c>
      <c r="AN131" s="80">
        <v>1060</v>
      </c>
      <c r="AO131" s="125" t="s">
        <v>324</v>
      </c>
      <c r="AP131" s="126" t="s">
        <v>69</v>
      </c>
      <c r="AQ131" s="40">
        <f t="shared" si="37"/>
        <v>164.88314624848715</v>
      </c>
      <c r="AR131" s="41">
        <f t="shared" ref="AR131:AR194" si="47">(P131-S131)</f>
        <v>34.369999999999997</v>
      </c>
      <c r="AS131" s="37">
        <f t="shared" si="38"/>
        <v>815.17394129002741</v>
      </c>
      <c r="AT131" s="42">
        <f t="shared" si="39"/>
        <v>105500</v>
      </c>
      <c r="AU131" s="31">
        <f t="shared" si="40"/>
        <v>63350</v>
      </c>
      <c r="AV131" s="31">
        <f t="shared" si="41"/>
        <v>64.817156142134039</v>
      </c>
      <c r="AW131" s="37">
        <f t="shared" si="42"/>
        <v>25652.643307272952</v>
      </c>
      <c r="AX131" s="31">
        <f t="shared" si="43"/>
        <v>164.88314624848715</v>
      </c>
      <c r="AY131" s="42">
        <f t="shared" si="44"/>
        <v>115176.10899977722</v>
      </c>
      <c r="AZ131" s="42">
        <f t="shared" ref="AZ131:AZ194" si="48">AW131*AB131</f>
        <v>46431284.386164047</v>
      </c>
      <c r="BA131" s="42">
        <f t="shared" si="45"/>
        <v>117953.43591495277</v>
      </c>
      <c r="BB131" s="42">
        <f t="shared" si="46"/>
        <v>21650</v>
      </c>
      <c r="BC131" s="38">
        <f t="shared" ref="BC131:BC194" si="49">P131-T131</f>
        <v>33.547499999999999</v>
      </c>
      <c r="BD131" s="38">
        <f t="shared" ref="BD131:BD194" si="50">BC131/Q131</f>
        <v>20.331818181818182</v>
      </c>
      <c r="BE131" s="38">
        <f t="shared" ref="BE131:BE194" si="51">Q131*P131</f>
        <v>61.643999999999998</v>
      </c>
      <c r="BH131" s="80">
        <v>22.6</v>
      </c>
      <c r="BI131" s="81">
        <v>4.42</v>
      </c>
    </row>
    <row r="132" spans="14:61">
      <c r="N132" s="123" t="s">
        <v>327</v>
      </c>
      <c r="O132" s="80">
        <v>137</v>
      </c>
      <c r="P132" s="124">
        <v>36.81</v>
      </c>
      <c r="Q132" s="124">
        <v>1.52</v>
      </c>
      <c r="R132" s="133">
        <v>16.454999999999998</v>
      </c>
      <c r="S132" s="124">
        <v>2.72</v>
      </c>
      <c r="T132" s="80">
        <v>3.5</v>
      </c>
      <c r="U132" s="80">
        <v>1.5625</v>
      </c>
      <c r="V132" s="80">
        <v>3</v>
      </c>
      <c r="W132" s="125" t="s">
        <v>127</v>
      </c>
      <c r="X132" s="35">
        <f t="shared" si="35"/>
        <v>20.638157894736842</v>
      </c>
      <c r="Y132" s="36">
        <f t="shared" si="36"/>
        <v>4.607366068144529</v>
      </c>
      <c r="Z132" s="80">
        <v>0.82</v>
      </c>
      <c r="AA132" s="80">
        <v>30100</v>
      </c>
      <c r="AB132" s="124">
        <v>1630</v>
      </c>
      <c r="AC132" s="80">
        <v>14.8</v>
      </c>
      <c r="AD132" s="80">
        <v>2030</v>
      </c>
      <c r="AE132" s="124">
        <v>247</v>
      </c>
      <c r="AF132" s="80">
        <v>3.85</v>
      </c>
      <c r="AG132" s="81">
        <v>1890</v>
      </c>
      <c r="AH132" s="80">
        <v>387</v>
      </c>
      <c r="AI132" s="81">
        <v>256</v>
      </c>
      <c r="AJ132" s="80">
        <v>587000</v>
      </c>
      <c r="AK132" s="80">
        <v>140</v>
      </c>
      <c r="AL132" s="80">
        <v>1570</v>
      </c>
      <c r="AM132" s="80">
        <v>348</v>
      </c>
      <c r="AN132" s="80">
        <v>947</v>
      </c>
      <c r="AO132" s="125" t="s">
        <v>324</v>
      </c>
      <c r="AP132" s="126" t="s">
        <v>69</v>
      </c>
      <c r="AQ132" s="40">
        <f t="shared" si="37"/>
        <v>163.1876897317932</v>
      </c>
      <c r="AR132" s="41">
        <f t="shared" si="47"/>
        <v>34.090000000000003</v>
      </c>
      <c r="AS132" s="37">
        <f t="shared" si="38"/>
        <v>751.1358453456055</v>
      </c>
      <c r="AT132" s="42">
        <f t="shared" si="39"/>
        <v>94500</v>
      </c>
      <c r="AU132" s="31">
        <f t="shared" si="40"/>
        <v>57050</v>
      </c>
      <c r="AV132" s="31">
        <f t="shared" si="41"/>
        <v>63.696092321103642</v>
      </c>
      <c r="AW132" s="37">
        <f t="shared" si="42"/>
        <v>25037.805529485257</v>
      </c>
      <c r="AX132" s="31">
        <f t="shared" si="43"/>
        <v>163.1876897317932</v>
      </c>
      <c r="AY132" s="42">
        <f t="shared" si="44"/>
        <v>103900.7591106147</v>
      </c>
      <c r="AZ132" s="42">
        <f t="shared" si="48"/>
        <v>40811623.013060965</v>
      </c>
      <c r="BA132" s="42">
        <f t="shared" si="45"/>
        <v>105564.79656026053</v>
      </c>
      <c r="BB132" s="42">
        <f t="shared" si="46"/>
        <v>19350</v>
      </c>
      <c r="BC132" s="38">
        <f t="shared" si="49"/>
        <v>33.31</v>
      </c>
      <c r="BD132" s="38">
        <f t="shared" si="50"/>
        <v>21.914473684210527</v>
      </c>
      <c r="BE132" s="38">
        <f t="shared" si="51"/>
        <v>55.951200000000007</v>
      </c>
      <c r="BH132" s="80">
        <v>24.2</v>
      </c>
      <c r="BI132" s="81">
        <v>4.37</v>
      </c>
    </row>
    <row r="133" spans="14:61">
      <c r="N133" s="123" t="s">
        <v>328</v>
      </c>
      <c r="O133" s="80">
        <v>124</v>
      </c>
      <c r="P133" s="124">
        <v>36.340000000000003</v>
      </c>
      <c r="Q133" s="124">
        <v>1.38</v>
      </c>
      <c r="R133" s="133">
        <v>16.315000000000001</v>
      </c>
      <c r="S133" s="124">
        <v>2.48</v>
      </c>
      <c r="T133" s="80">
        <v>3.3125</v>
      </c>
      <c r="U133" s="80">
        <v>1.4375</v>
      </c>
      <c r="V133" s="80">
        <v>3.3</v>
      </c>
      <c r="W133" s="125" t="s">
        <v>127</v>
      </c>
      <c r="X133" s="35">
        <f t="shared" si="35"/>
        <v>22.739130434782613</v>
      </c>
      <c r="Y133" s="36">
        <f t="shared" si="36"/>
        <v>4.5376800835383433</v>
      </c>
      <c r="Z133" s="80">
        <v>0.9</v>
      </c>
      <c r="AA133" s="80">
        <v>26900</v>
      </c>
      <c r="AB133" s="124">
        <v>1480</v>
      </c>
      <c r="AC133" s="80">
        <v>14.7</v>
      </c>
      <c r="AD133" s="80">
        <v>1800</v>
      </c>
      <c r="AE133" s="124">
        <v>221</v>
      </c>
      <c r="AF133" s="80">
        <v>3.81</v>
      </c>
      <c r="AG133" s="81">
        <v>1700</v>
      </c>
      <c r="AH133" s="80">
        <v>345</v>
      </c>
      <c r="AI133" s="81">
        <v>193</v>
      </c>
      <c r="AJ133" s="80">
        <v>514000</v>
      </c>
      <c r="AK133" s="80">
        <v>138</v>
      </c>
      <c r="AL133" s="80">
        <v>1400</v>
      </c>
      <c r="AM133" s="80">
        <v>315</v>
      </c>
      <c r="AN133" s="80">
        <v>852</v>
      </c>
      <c r="AO133" s="125" t="s">
        <v>324</v>
      </c>
      <c r="AP133" s="126" t="s">
        <v>69</v>
      </c>
      <c r="AQ133" s="40">
        <f t="shared" si="37"/>
        <v>161.49223321509925</v>
      </c>
      <c r="AR133" s="41">
        <f t="shared" si="47"/>
        <v>33.860000000000007</v>
      </c>
      <c r="AS133" s="37">
        <f t="shared" si="38"/>
        <v>688.51163813965809</v>
      </c>
      <c r="AT133" s="42">
        <f t="shared" si="39"/>
        <v>85000</v>
      </c>
      <c r="AU133" s="31">
        <f t="shared" si="40"/>
        <v>51800</v>
      </c>
      <c r="AV133" s="31">
        <f t="shared" si="41"/>
        <v>62.995782868284479</v>
      </c>
      <c r="AW133" s="37">
        <f t="shared" si="42"/>
        <v>24279.259556856214</v>
      </c>
      <c r="AX133" s="31">
        <f t="shared" si="43"/>
        <v>161.49223321509925</v>
      </c>
      <c r="AY133" s="42">
        <f t="shared" si="44"/>
        <v>94190.59544578752</v>
      </c>
      <c r="AZ133" s="42">
        <f t="shared" si="48"/>
        <v>35933304.144147195</v>
      </c>
      <c r="BA133" s="42">
        <f t="shared" si="45"/>
        <v>94809.112037400526</v>
      </c>
      <c r="BB133" s="42">
        <f t="shared" si="46"/>
        <v>17250</v>
      </c>
      <c r="BC133" s="38">
        <f t="shared" si="49"/>
        <v>33.027500000000003</v>
      </c>
      <c r="BD133" s="38">
        <f t="shared" si="50"/>
        <v>23.932971014492757</v>
      </c>
      <c r="BE133" s="38">
        <f t="shared" si="51"/>
        <v>50.1492</v>
      </c>
      <c r="BH133" s="80">
        <v>26.3</v>
      </c>
      <c r="BI133" s="81">
        <v>4.33</v>
      </c>
    </row>
    <row r="134" spans="14:61">
      <c r="N134" s="30" t="s">
        <v>329</v>
      </c>
      <c r="O134" s="40">
        <v>114</v>
      </c>
      <c r="P134" s="128">
        <v>36</v>
      </c>
      <c r="Q134" s="128">
        <v>1.26</v>
      </c>
      <c r="R134" s="128">
        <v>16.2</v>
      </c>
      <c r="S134" s="128">
        <v>2.2799999999999998</v>
      </c>
      <c r="T134" s="40">
        <v>3.07</v>
      </c>
      <c r="U134" s="33">
        <v>1.375</v>
      </c>
      <c r="V134" s="40">
        <v>3.55</v>
      </c>
      <c r="W134" s="84" t="s">
        <v>127</v>
      </c>
      <c r="X134" s="35">
        <f t="shared" si="35"/>
        <v>24.952380952380953</v>
      </c>
      <c r="Y134" s="36">
        <f t="shared" si="36"/>
        <v>4.4979995553579144</v>
      </c>
      <c r="Z134" s="34">
        <v>0.97</v>
      </c>
      <c r="AA134" s="40">
        <v>24300</v>
      </c>
      <c r="AB134" s="128">
        <v>1350</v>
      </c>
      <c r="AC134" s="40">
        <v>14.6</v>
      </c>
      <c r="AD134" s="40">
        <v>1620</v>
      </c>
      <c r="AE134" s="128">
        <v>200</v>
      </c>
      <c r="AF134" s="40">
        <v>3.77</v>
      </c>
      <c r="AG134" s="41">
        <v>1560</v>
      </c>
      <c r="AH134" s="40">
        <v>312</v>
      </c>
      <c r="AI134" s="41">
        <v>148</v>
      </c>
      <c r="AJ134" s="40">
        <v>459000</v>
      </c>
      <c r="AK134" s="40">
        <v>136</v>
      </c>
      <c r="AL134" s="40">
        <v>1260</v>
      </c>
      <c r="AM134" s="40">
        <v>287</v>
      </c>
      <c r="AN134" s="40">
        <v>777</v>
      </c>
      <c r="AO134" s="83" t="s">
        <v>324</v>
      </c>
      <c r="AP134" s="39" t="s">
        <v>69</v>
      </c>
      <c r="AQ134" s="40">
        <f t="shared" si="37"/>
        <v>159.7967766984053</v>
      </c>
      <c r="AR134" s="41">
        <f t="shared" si="47"/>
        <v>33.72</v>
      </c>
      <c r="AS134" s="37">
        <f t="shared" si="38"/>
        <v>640.59733374413122</v>
      </c>
      <c r="AT134" s="42">
        <f t="shared" si="39"/>
        <v>78000</v>
      </c>
      <c r="AU134" s="31">
        <f t="shared" si="40"/>
        <v>47250</v>
      </c>
      <c r="AV134" s="31">
        <f t="shared" si="41"/>
        <v>63.955832723953279</v>
      </c>
      <c r="AW134" s="37">
        <f t="shared" si="42"/>
        <v>23850.54237134134</v>
      </c>
      <c r="AX134" s="31">
        <f t="shared" si="43"/>
        <v>159.7967766984053</v>
      </c>
      <c r="AY134" s="42">
        <f t="shared" si="44"/>
        <v>87222.224929856457</v>
      </c>
      <c r="AZ134" s="42">
        <f t="shared" si="48"/>
        <v>32198232.20131081</v>
      </c>
      <c r="BA134" s="42">
        <f t="shared" si="45"/>
        <v>87085.246841869463</v>
      </c>
      <c r="BB134" s="42">
        <f t="shared" si="46"/>
        <v>15600</v>
      </c>
      <c r="BC134" s="38">
        <f t="shared" si="49"/>
        <v>32.93</v>
      </c>
      <c r="BD134" s="38">
        <f t="shared" si="50"/>
        <v>26.134920634920636</v>
      </c>
      <c r="BE134" s="38">
        <f t="shared" si="51"/>
        <v>45.36</v>
      </c>
      <c r="BH134" s="34">
        <v>28.5</v>
      </c>
      <c r="BI134" s="43">
        <v>4.3</v>
      </c>
    </row>
    <row r="135" spans="14:61">
      <c r="N135" s="30" t="s">
        <v>330</v>
      </c>
      <c r="O135" s="40">
        <v>104</v>
      </c>
      <c r="P135" s="128">
        <v>35.6</v>
      </c>
      <c r="Q135" s="128">
        <v>1.1599999999999999</v>
      </c>
      <c r="R135" s="128">
        <v>16.100000000000001</v>
      </c>
      <c r="S135" s="128">
        <v>2.09</v>
      </c>
      <c r="T135" s="40">
        <v>2.88</v>
      </c>
      <c r="U135" s="132">
        <v>1.375</v>
      </c>
      <c r="V135" s="40">
        <v>3.85</v>
      </c>
      <c r="W135" s="84" t="s">
        <v>127</v>
      </c>
      <c r="X135" s="35">
        <f t="shared" si="35"/>
        <v>27.086206896551726</v>
      </c>
      <c r="Y135" s="36">
        <f t="shared" si="36"/>
        <v>4.4415831963752046</v>
      </c>
      <c r="Z135" s="34">
        <v>1.06</v>
      </c>
      <c r="AA135" s="40">
        <v>22000</v>
      </c>
      <c r="AB135" s="128">
        <v>1240</v>
      </c>
      <c r="AC135" s="40">
        <v>14.5</v>
      </c>
      <c r="AD135" s="40">
        <v>1460</v>
      </c>
      <c r="AE135" s="128">
        <v>181</v>
      </c>
      <c r="AF135" s="40">
        <v>3.74</v>
      </c>
      <c r="AG135" s="41">
        <v>1420</v>
      </c>
      <c r="AH135" s="40">
        <v>282</v>
      </c>
      <c r="AI135" s="41">
        <v>115</v>
      </c>
      <c r="AJ135" s="40">
        <v>409000</v>
      </c>
      <c r="AK135" s="40">
        <v>135</v>
      </c>
      <c r="AL135" s="40">
        <v>1130</v>
      </c>
      <c r="AM135" s="40">
        <v>261</v>
      </c>
      <c r="AN135" s="40">
        <v>706</v>
      </c>
      <c r="AO135" s="146" t="s">
        <v>331</v>
      </c>
      <c r="AP135" s="39" t="s">
        <v>69</v>
      </c>
      <c r="AQ135" s="40">
        <f t="shared" si="37"/>
        <v>158.52518431088484</v>
      </c>
      <c r="AR135" s="41">
        <f t="shared" si="47"/>
        <v>33.510000000000005</v>
      </c>
      <c r="AS135" s="37">
        <f t="shared" si="38"/>
        <v>598.33662645811205</v>
      </c>
      <c r="AT135" s="42">
        <f t="shared" si="39"/>
        <v>71000</v>
      </c>
      <c r="AU135" s="31">
        <f t="shared" si="40"/>
        <v>43400</v>
      </c>
      <c r="AV135" s="31">
        <f t="shared" si="41"/>
        <v>62.75416543337878</v>
      </c>
      <c r="AW135" s="37">
        <f t="shared" si="42"/>
        <v>23251.51087783157</v>
      </c>
      <c r="AX135" s="31">
        <f t="shared" si="43"/>
        <v>158.52518431088484</v>
      </c>
      <c r="AY135" s="42">
        <f t="shared" si="44"/>
        <v>79969.15066084142</v>
      </c>
      <c r="AZ135" s="42">
        <f t="shared" si="48"/>
        <v>28831873.488511145</v>
      </c>
      <c r="BA135" s="42">
        <f t="shared" si="45"/>
        <v>79154.56301904381</v>
      </c>
      <c r="BB135" s="42">
        <f t="shared" si="46"/>
        <v>14100</v>
      </c>
      <c r="BC135" s="38">
        <f t="shared" si="49"/>
        <v>32.72</v>
      </c>
      <c r="BD135" s="38">
        <f t="shared" si="50"/>
        <v>28.206896551724139</v>
      </c>
      <c r="BE135" s="38">
        <f t="shared" si="51"/>
        <v>41.295999999999999</v>
      </c>
      <c r="BH135" s="34">
        <v>30.6</v>
      </c>
      <c r="BI135" s="43">
        <v>4.2699999999999996</v>
      </c>
    </row>
    <row r="136" spans="14:61">
      <c r="N136" s="30" t="s">
        <v>332</v>
      </c>
      <c r="O136" s="40">
        <v>93.6</v>
      </c>
      <c r="P136" s="128">
        <v>35.200000000000003</v>
      </c>
      <c r="Q136" s="128">
        <v>1.04</v>
      </c>
      <c r="R136" s="128">
        <v>16</v>
      </c>
      <c r="S136" s="128">
        <v>1.89</v>
      </c>
      <c r="T136" s="40">
        <v>2.68</v>
      </c>
      <c r="U136" s="132">
        <v>1.3125</v>
      </c>
      <c r="V136" s="40">
        <v>4.2300000000000004</v>
      </c>
      <c r="W136" s="84" t="s">
        <v>127</v>
      </c>
      <c r="X136" s="35">
        <f t="shared" si="35"/>
        <v>30.211538461538463</v>
      </c>
      <c r="Y136" s="36">
        <f t="shared" si="36"/>
        <v>4.3995239300191118</v>
      </c>
      <c r="Z136" s="34">
        <v>1.1599999999999999</v>
      </c>
      <c r="AA136" s="40">
        <v>19500</v>
      </c>
      <c r="AB136" s="128">
        <v>1110</v>
      </c>
      <c r="AC136" s="40">
        <v>14.5</v>
      </c>
      <c r="AD136" s="40">
        <v>1290</v>
      </c>
      <c r="AE136" s="128">
        <v>161</v>
      </c>
      <c r="AF136" s="40">
        <v>3.71</v>
      </c>
      <c r="AG136" s="41">
        <v>1270</v>
      </c>
      <c r="AH136" s="40">
        <v>250</v>
      </c>
      <c r="AI136" s="41">
        <v>84.4</v>
      </c>
      <c r="AJ136" s="40">
        <v>357000</v>
      </c>
      <c r="AK136" s="40">
        <v>133</v>
      </c>
      <c r="AL136" s="40">
        <v>1000</v>
      </c>
      <c r="AM136" s="40">
        <v>235</v>
      </c>
      <c r="AN136" s="40">
        <v>631</v>
      </c>
      <c r="AO136" s="146" t="s">
        <v>331</v>
      </c>
      <c r="AP136" s="39" t="s">
        <v>69</v>
      </c>
      <c r="AQ136" s="40">
        <f t="shared" si="37"/>
        <v>157.25359192336435</v>
      </c>
      <c r="AR136" s="41">
        <f t="shared" si="47"/>
        <v>33.31</v>
      </c>
      <c r="AS136" s="37">
        <f t="shared" si="38"/>
        <v>558.04328971096322</v>
      </c>
      <c r="AT136" s="42">
        <f t="shared" si="39"/>
        <v>63500</v>
      </c>
      <c r="AU136" s="31">
        <f t="shared" si="40"/>
        <v>38850</v>
      </c>
      <c r="AV136" s="31">
        <f t="shared" si="41"/>
        <v>61.503576903474773</v>
      </c>
      <c r="AW136" s="37">
        <f t="shared" si="42"/>
        <v>22808.410188745496</v>
      </c>
      <c r="AX136" s="31">
        <f t="shared" si="43"/>
        <v>157.25359192336435</v>
      </c>
      <c r="AY136" s="42">
        <f t="shared" si="44"/>
        <v>72212.202584512066</v>
      </c>
      <c r="AZ136" s="42">
        <f t="shared" si="48"/>
        <v>25317335.3095075</v>
      </c>
      <c r="BA136" s="42">
        <f t="shared" si="45"/>
        <v>70782.970232588035</v>
      </c>
      <c r="BB136" s="42">
        <f t="shared" si="46"/>
        <v>12500</v>
      </c>
      <c r="BC136" s="38">
        <f t="shared" si="49"/>
        <v>32.520000000000003</v>
      </c>
      <c r="BD136" s="38">
        <f t="shared" si="50"/>
        <v>31.26923076923077</v>
      </c>
      <c r="BE136" s="38">
        <f t="shared" si="51"/>
        <v>36.608000000000004</v>
      </c>
      <c r="BH136" s="34">
        <v>33.799999999999997</v>
      </c>
      <c r="BI136" s="43">
        <v>4.24</v>
      </c>
    </row>
    <row r="137" spans="14:61">
      <c r="N137" s="30" t="s">
        <v>333</v>
      </c>
      <c r="O137" s="40">
        <v>85.7</v>
      </c>
      <c r="P137" s="128">
        <v>34.799999999999997</v>
      </c>
      <c r="Q137" s="128">
        <v>0.96</v>
      </c>
      <c r="R137" s="128">
        <v>15.9</v>
      </c>
      <c r="S137" s="128">
        <v>1.73</v>
      </c>
      <c r="T137" s="40">
        <v>2.52</v>
      </c>
      <c r="U137" s="129">
        <v>1.3125</v>
      </c>
      <c r="V137" s="40">
        <v>4.5999999999999996</v>
      </c>
      <c r="W137" s="84" t="s">
        <v>127</v>
      </c>
      <c r="X137" s="35">
        <f t="shared" si="35"/>
        <v>32.645833333333329</v>
      </c>
      <c r="Y137" s="36">
        <f t="shared" si="36"/>
        <v>4.3364167009088934</v>
      </c>
      <c r="Z137" s="34">
        <v>1.27</v>
      </c>
      <c r="AA137" s="40">
        <v>17700</v>
      </c>
      <c r="AB137" s="128">
        <v>1020</v>
      </c>
      <c r="AC137" s="40">
        <v>14.4</v>
      </c>
      <c r="AD137" s="40">
        <v>1160</v>
      </c>
      <c r="AE137" s="128">
        <v>146</v>
      </c>
      <c r="AF137" s="40">
        <v>3.68</v>
      </c>
      <c r="AG137" s="41">
        <v>1160</v>
      </c>
      <c r="AH137" s="40">
        <v>226</v>
      </c>
      <c r="AI137" s="41">
        <v>65.099999999999994</v>
      </c>
      <c r="AJ137" s="40">
        <v>318000</v>
      </c>
      <c r="AK137" s="40">
        <v>132</v>
      </c>
      <c r="AL137" s="40">
        <v>906</v>
      </c>
      <c r="AM137" s="40">
        <v>214</v>
      </c>
      <c r="AN137" s="40">
        <v>574</v>
      </c>
      <c r="AO137" s="146" t="s">
        <v>331</v>
      </c>
      <c r="AP137" s="39" t="s">
        <v>69</v>
      </c>
      <c r="AQ137" s="40">
        <f t="shared" si="37"/>
        <v>155.98199953584387</v>
      </c>
      <c r="AR137" s="41">
        <f t="shared" si="47"/>
        <v>33.07</v>
      </c>
      <c r="AS137" s="37">
        <f t="shared" si="38"/>
        <v>524.96115403120609</v>
      </c>
      <c r="AT137" s="42">
        <f t="shared" si="39"/>
        <v>58000</v>
      </c>
      <c r="AU137" s="31">
        <f t="shared" si="40"/>
        <v>35700</v>
      </c>
      <c r="AV137" s="31">
        <f t="shared" si="41"/>
        <v>60.437018536992433</v>
      </c>
      <c r="AW137" s="37">
        <f t="shared" si="42"/>
        <v>22155.559878165055</v>
      </c>
      <c r="AX137" s="31">
        <f t="shared" si="43"/>
        <v>155.98199953584387</v>
      </c>
      <c r="AY137" s="42">
        <f t="shared" si="44"/>
        <v>66484.269508207857</v>
      </c>
      <c r="AZ137" s="42">
        <f t="shared" si="48"/>
        <v>22598671.075728357</v>
      </c>
      <c r="BA137" s="42">
        <f t="shared" si="45"/>
        <v>64588.650555241918</v>
      </c>
      <c r="BB137" s="42">
        <f t="shared" si="46"/>
        <v>11300</v>
      </c>
      <c r="BC137" s="38">
        <f t="shared" si="49"/>
        <v>32.279999999999994</v>
      </c>
      <c r="BD137" s="38">
        <f t="shared" si="50"/>
        <v>33.624999999999993</v>
      </c>
      <c r="BE137" s="38">
        <f t="shared" si="51"/>
        <v>33.407999999999994</v>
      </c>
      <c r="BH137" s="34">
        <v>36.299999999999997</v>
      </c>
      <c r="BI137" s="43">
        <v>4.21</v>
      </c>
    </row>
    <row r="138" spans="14:61">
      <c r="N138" s="30" t="s">
        <v>334</v>
      </c>
      <c r="O138" s="40">
        <v>77.5</v>
      </c>
      <c r="P138" s="128">
        <v>34.5</v>
      </c>
      <c r="Q138" s="128">
        <v>0.87</v>
      </c>
      <c r="R138" s="128">
        <v>15.8</v>
      </c>
      <c r="S138" s="128">
        <v>1.57</v>
      </c>
      <c r="T138" s="40">
        <v>2.36</v>
      </c>
      <c r="U138" s="132">
        <v>1.25</v>
      </c>
      <c r="V138" s="40">
        <v>5.03</v>
      </c>
      <c r="W138" s="84" t="s">
        <v>127</v>
      </c>
      <c r="X138" s="35">
        <f t="shared" si="35"/>
        <v>36.045977011494251</v>
      </c>
      <c r="Y138" s="36">
        <f t="shared" si="36"/>
        <v>4.3165798737323513</v>
      </c>
      <c r="Z138" s="34">
        <v>1.39</v>
      </c>
      <c r="AA138" s="40">
        <v>15900</v>
      </c>
      <c r="AB138" s="128">
        <v>919</v>
      </c>
      <c r="AC138" s="40">
        <v>14.3</v>
      </c>
      <c r="AD138" s="40">
        <v>1040</v>
      </c>
      <c r="AE138" s="128">
        <v>131</v>
      </c>
      <c r="AF138" s="40">
        <v>3.66</v>
      </c>
      <c r="AG138" s="41">
        <v>1040</v>
      </c>
      <c r="AH138" s="40">
        <v>202</v>
      </c>
      <c r="AI138" s="41">
        <v>48.7</v>
      </c>
      <c r="AJ138" s="40">
        <v>282000</v>
      </c>
      <c r="AK138" s="40">
        <v>130</v>
      </c>
      <c r="AL138" s="40">
        <v>808</v>
      </c>
      <c r="AM138" s="40">
        <v>193</v>
      </c>
      <c r="AN138" s="40">
        <v>516</v>
      </c>
      <c r="AO138" s="146" t="s">
        <v>331</v>
      </c>
      <c r="AP138" s="39" t="s">
        <v>69</v>
      </c>
      <c r="AQ138" s="40">
        <f t="shared" si="37"/>
        <v>155.13427127749691</v>
      </c>
      <c r="AR138" s="41">
        <f t="shared" si="47"/>
        <v>32.93</v>
      </c>
      <c r="AS138" s="37">
        <f t="shared" si="38"/>
        <v>499.81172488848807</v>
      </c>
      <c r="AT138" s="42">
        <f t="shared" si="39"/>
        <v>52000</v>
      </c>
      <c r="AU138" s="31">
        <f t="shared" si="40"/>
        <v>32165</v>
      </c>
      <c r="AV138" s="31">
        <f t="shared" si="41"/>
        <v>57.546554879641526</v>
      </c>
      <c r="AW138" s="37">
        <f t="shared" si="42"/>
        <v>21949.940450075952</v>
      </c>
      <c r="AX138" s="31">
        <f t="shared" si="43"/>
        <v>155.13427127749691</v>
      </c>
      <c r="AY138" s="42">
        <f t="shared" si="44"/>
        <v>60029.716599661268</v>
      </c>
      <c r="AZ138" s="42">
        <f t="shared" si="48"/>
        <v>20171995.273619801</v>
      </c>
      <c r="BA138" s="42">
        <f t="shared" si="45"/>
        <v>57860.353531983113</v>
      </c>
      <c r="BB138" s="42">
        <f t="shared" si="46"/>
        <v>10100</v>
      </c>
      <c r="BC138" s="38">
        <f t="shared" si="49"/>
        <v>32.14</v>
      </c>
      <c r="BD138" s="38">
        <f t="shared" si="50"/>
        <v>36.942528735632187</v>
      </c>
      <c r="BE138" s="38">
        <f t="shared" si="51"/>
        <v>30.015000000000001</v>
      </c>
      <c r="BH138" s="34">
        <v>39.700000000000003</v>
      </c>
      <c r="BI138" s="43">
        <v>4.18</v>
      </c>
    </row>
    <row r="139" spans="14:61">
      <c r="N139" s="30" t="s">
        <v>335</v>
      </c>
      <c r="O139" s="40">
        <v>71</v>
      </c>
      <c r="P139" s="128">
        <v>34.200000000000003</v>
      </c>
      <c r="Q139" s="128">
        <v>0.83</v>
      </c>
      <c r="R139" s="128">
        <v>15.9</v>
      </c>
      <c r="S139" s="128">
        <v>1.4</v>
      </c>
      <c r="T139" s="40">
        <v>2.19</v>
      </c>
      <c r="U139" s="132">
        <v>1.25</v>
      </c>
      <c r="V139" s="40">
        <v>5.66</v>
      </c>
      <c r="W139" s="84" t="s">
        <v>127</v>
      </c>
      <c r="X139" s="35">
        <f t="shared" si="35"/>
        <v>37.831325301204821</v>
      </c>
      <c r="Y139" s="36">
        <f t="shared" si="36"/>
        <v>4.2910367500047935</v>
      </c>
      <c r="Z139" s="34">
        <v>1.54</v>
      </c>
      <c r="AA139" s="40">
        <v>14200</v>
      </c>
      <c r="AB139" s="128">
        <v>831</v>
      </c>
      <c r="AC139" s="40">
        <v>14.1</v>
      </c>
      <c r="AD139" s="40">
        <v>933</v>
      </c>
      <c r="AE139" s="128">
        <v>118</v>
      </c>
      <c r="AF139" s="40">
        <v>3.62</v>
      </c>
      <c r="AG139" s="41">
        <v>940</v>
      </c>
      <c r="AH139" s="40">
        <v>182</v>
      </c>
      <c r="AI139" s="41">
        <v>36.200000000000003</v>
      </c>
      <c r="AJ139" s="40">
        <v>251000</v>
      </c>
      <c r="AK139" s="40">
        <v>130</v>
      </c>
      <c r="AL139" s="40">
        <v>721</v>
      </c>
      <c r="AM139" s="40">
        <v>172</v>
      </c>
      <c r="AN139" s="40">
        <v>466</v>
      </c>
      <c r="AO139" s="146" t="s">
        <v>331</v>
      </c>
      <c r="AP139" s="39" t="s">
        <v>69</v>
      </c>
      <c r="AQ139" s="40">
        <f t="shared" si="37"/>
        <v>153.43881476080296</v>
      </c>
      <c r="AR139" s="41">
        <f t="shared" si="47"/>
        <v>32.800000000000004</v>
      </c>
      <c r="AS139" s="37">
        <f t="shared" si="38"/>
        <v>477.10159509919185</v>
      </c>
      <c r="AT139" s="42">
        <f t="shared" si="39"/>
        <v>47000</v>
      </c>
      <c r="AU139" s="31">
        <f t="shared" si="40"/>
        <v>29085</v>
      </c>
      <c r="AV139" s="31">
        <f t="shared" si="41"/>
        <v>55.350819087909642</v>
      </c>
      <c r="AW139" s="37">
        <f t="shared" si="42"/>
        <v>21688.007563399577</v>
      </c>
      <c r="AX139" s="31">
        <f t="shared" si="43"/>
        <v>153.43881476080296</v>
      </c>
      <c r="AY139" s="42">
        <f t="shared" si="44"/>
        <v>54629.491299117093</v>
      </c>
      <c r="AZ139" s="42">
        <f t="shared" si="48"/>
        <v>18022734.285185046</v>
      </c>
      <c r="BA139" s="42">
        <f t="shared" si="45"/>
        <v>52293.079582832237</v>
      </c>
      <c r="BB139" s="42">
        <f t="shared" si="46"/>
        <v>9100</v>
      </c>
      <c r="BC139" s="38">
        <f t="shared" si="49"/>
        <v>32.010000000000005</v>
      </c>
      <c r="BD139" s="38">
        <f t="shared" si="50"/>
        <v>38.566265060240973</v>
      </c>
      <c r="BE139" s="38">
        <f t="shared" si="51"/>
        <v>28.385999999999999</v>
      </c>
      <c r="BH139" s="34">
        <v>41.2</v>
      </c>
      <c r="BI139" s="43">
        <v>4.17</v>
      </c>
    </row>
    <row r="140" spans="14:61">
      <c r="N140" s="30" t="s">
        <v>336</v>
      </c>
      <c r="O140" s="40">
        <v>65.2</v>
      </c>
      <c r="P140" s="128">
        <v>33.9</v>
      </c>
      <c r="Q140" s="128">
        <v>0.77500000000000002</v>
      </c>
      <c r="R140" s="128">
        <v>15.8</v>
      </c>
      <c r="S140" s="128">
        <v>1.27</v>
      </c>
      <c r="T140" s="40">
        <v>2.06</v>
      </c>
      <c r="U140" s="132">
        <v>1.1875</v>
      </c>
      <c r="V140" s="40">
        <v>6.2</v>
      </c>
      <c r="W140" s="84" t="s">
        <v>127</v>
      </c>
      <c r="X140" s="35">
        <f t="shared" si="35"/>
        <v>40.464516129032255</v>
      </c>
      <c r="Y140" s="36">
        <f t="shared" si="36"/>
        <v>4.2492501082206768</v>
      </c>
      <c r="Z140" s="34">
        <v>1.68</v>
      </c>
      <c r="AA140" s="40">
        <v>12900</v>
      </c>
      <c r="AB140" s="128">
        <v>759</v>
      </c>
      <c r="AC140" s="40">
        <v>14.1</v>
      </c>
      <c r="AD140" s="40">
        <v>840</v>
      </c>
      <c r="AE140" s="128">
        <v>106</v>
      </c>
      <c r="AF140" s="40">
        <v>3.59</v>
      </c>
      <c r="AG140" s="41">
        <v>857</v>
      </c>
      <c r="AH140" s="40">
        <v>164</v>
      </c>
      <c r="AI140" s="41">
        <v>27.8</v>
      </c>
      <c r="AJ140" s="40">
        <v>224000</v>
      </c>
      <c r="AK140" s="40">
        <v>129</v>
      </c>
      <c r="AL140" s="40">
        <v>650</v>
      </c>
      <c r="AM140" s="40">
        <v>156</v>
      </c>
      <c r="AN140" s="40">
        <v>424</v>
      </c>
      <c r="AO140" s="146" t="s">
        <v>331</v>
      </c>
      <c r="AP140" s="39" t="s">
        <v>69</v>
      </c>
      <c r="AQ140" s="40">
        <f t="shared" si="37"/>
        <v>152.16722237328247</v>
      </c>
      <c r="AR140" s="41">
        <f t="shared" si="47"/>
        <v>32.629999999999995</v>
      </c>
      <c r="AS140" s="37">
        <f t="shared" si="38"/>
        <v>458.2562591699666</v>
      </c>
      <c r="AT140" s="42">
        <f t="shared" si="39"/>
        <v>42850</v>
      </c>
      <c r="AU140" s="31">
        <f t="shared" si="40"/>
        <v>26565</v>
      </c>
      <c r="AV140" s="31">
        <f t="shared" si="41"/>
        <v>53.203473637695524</v>
      </c>
      <c r="AW140" s="37">
        <f t="shared" si="42"/>
        <v>21265.6551749842</v>
      </c>
      <c r="AX140" s="31">
        <f t="shared" si="43"/>
        <v>152.16722237328247</v>
      </c>
      <c r="AY140" s="42">
        <f t="shared" si="44"/>
        <v>50115.850615310235</v>
      </c>
      <c r="AZ140" s="42">
        <f t="shared" si="48"/>
        <v>16140632.277813008</v>
      </c>
      <c r="BA140" s="42">
        <f t="shared" si="45"/>
        <v>47661.487636417696</v>
      </c>
      <c r="BB140" s="42">
        <f t="shared" si="46"/>
        <v>8200</v>
      </c>
      <c r="BC140" s="38">
        <f t="shared" si="49"/>
        <v>31.84</v>
      </c>
      <c r="BD140" s="38">
        <f t="shared" si="50"/>
        <v>41.083870967741937</v>
      </c>
      <c r="BE140" s="38">
        <f t="shared" si="51"/>
        <v>26.272500000000001</v>
      </c>
      <c r="BH140" s="34">
        <v>43.8</v>
      </c>
      <c r="BI140" s="43">
        <v>4.1500000000000004</v>
      </c>
    </row>
    <row r="141" spans="14:61">
      <c r="N141" s="30" t="s">
        <v>337</v>
      </c>
      <c r="O141" s="40">
        <v>59.2</v>
      </c>
      <c r="P141" s="128">
        <v>33.700000000000003</v>
      </c>
      <c r="Q141" s="128">
        <v>0.71499999999999997</v>
      </c>
      <c r="R141" s="128">
        <v>15.7</v>
      </c>
      <c r="S141" s="128">
        <v>1.1499999999999999</v>
      </c>
      <c r="T141" s="40">
        <v>1.94</v>
      </c>
      <c r="U141" s="132">
        <v>1.1875</v>
      </c>
      <c r="V141" s="40">
        <v>6.85</v>
      </c>
      <c r="W141" s="84" t="s">
        <v>127</v>
      </c>
      <c r="X141" s="35">
        <f t="shared" si="35"/>
        <v>43.91608391608392</v>
      </c>
      <c r="Y141" s="36">
        <f t="shared" si="36"/>
        <v>4.2154054202582767</v>
      </c>
      <c r="Z141" s="34">
        <v>1.86</v>
      </c>
      <c r="AA141" s="40">
        <v>11600</v>
      </c>
      <c r="AB141" s="128">
        <v>686</v>
      </c>
      <c r="AC141" s="40">
        <v>14</v>
      </c>
      <c r="AD141" s="40">
        <v>749</v>
      </c>
      <c r="AE141" s="128">
        <v>95.2</v>
      </c>
      <c r="AF141" s="40">
        <v>3.56</v>
      </c>
      <c r="AG141" s="41">
        <v>773</v>
      </c>
      <c r="AH141" s="40">
        <v>147</v>
      </c>
      <c r="AI141" s="41">
        <v>20.8</v>
      </c>
      <c r="AJ141" s="40">
        <v>198000</v>
      </c>
      <c r="AK141" s="40">
        <v>128</v>
      </c>
      <c r="AL141" s="40">
        <v>580</v>
      </c>
      <c r="AM141" s="40">
        <v>141</v>
      </c>
      <c r="AN141" s="40">
        <v>383</v>
      </c>
      <c r="AO141" s="146" t="s">
        <v>331</v>
      </c>
      <c r="AP141" s="39" t="s">
        <v>69</v>
      </c>
      <c r="AQ141" s="40">
        <f t="shared" si="37"/>
        <v>150.89562998576201</v>
      </c>
      <c r="AR141" s="41">
        <f t="shared" si="47"/>
        <v>32.550000000000004</v>
      </c>
      <c r="AS141" s="37">
        <f t="shared" si="38"/>
        <v>441.64758033518132</v>
      </c>
      <c r="AT141" s="42">
        <f t="shared" si="39"/>
        <v>38650</v>
      </c>
      <c r="AU141" s="31">
        <f t="shared" si="40"/>
        <v>24010</v>
      </c>
      <c r="AV141" s="31">
        <f t="shared" si="41"/>
        <v>50.352198781146505</v>
      </c>
      <c r="AW141" s="37">
        <f t="shared" si="42"/>
        <v>20926.314653480054</v>
      </c>
      <c r="AX141" s="31">
        <f t="shared" si="43"/>
        <v>150.89562998576201</v>
      </c>
      <c r="AY141" s="42">
        <f t="shared" si="44"/>
        <v>45462.432455263537</v>
      </c>
      <c r="AZ141" s="42">
        <f t="shared" si="48"/>
        <v>14355451.852287317</v>
      </c>
      <c r="BA141" s="42">
        <f t="shared" si="45"/>
        <v>42975.463862275414</v>
      </c>
      <c r="BB141" s="42">
        <f t="shared" si="46"/>
        <v>7350</v>
      </c>
      <c r="BC141" s="38">
        <f t="shared" si="49"/>
        <v>31.76</v>
      </c>
      <c r="BD141" s="38">
        <f t="shared" si="50"/>
        <v>44.419580419580427</v>
      </c>
      <c r="BE141" s="38">
        <f t="shared" si="51"/>
        <v>24.095500000000001</v>
      </c>
      <c r="BH141" s="34">
        <v>47.1</v>
      </c>
      <c r="BI141" s="43">
        <v>4.12</v>
      </c>
    </row>
    <row r="142" spans="14:61">
      <c r="N142" s="30" t="s">
        <v>338</v>
      </c>
      <c r="O142" s="40">
        <v>49.5</v>
      </c>
      <c r="P142" s="128">
        <v>33.799999999999997</v>
      </c>
      <c r="Q142" s="128">
        <v>0.67</v>
      </c>
      <c r="R142" s="128">
        <v>11.5</v>
      </c>
      <c r="S142" s="128">
        <v>1.22</v>
      </c>
      <c r="T142" s="40">
        <v>1.92</v>
      </c>
      <c r="U142" s="132">
        <v>1.1875</v>
      </c>
      <c r="V142" s="40">
        <v>4.71</v>
      </c>
      <c r="W142" s="84" t="s">
        <v>127</v>
      </c>
      <c r="X142" s="35">
        <f t="shared" si="35"/>
        <v>46.805970149253724</v>
      </c>
      <c r="Y142" s="36">
        <f t="shared" si="36"/>
        <v>3.0328799276822194</v>
      </c>
      <c r="Z142" s="34">
        <v>2.41</v>
      </c>
      <c r="AA142" s="40">
        <v>9290</v>
      </c>
      <c r="AB142" s="128">
        <v>549</v>
      </c>
      <c r="AC142" s="40">
        <v>13.7</v>
      </c>
      <c r="AD142" s="40">
        <v>310</v>
      </c>
      <c r="AE142" s="128">
        <v>53.9</v>
      </c>
      <c r="AF142" s="40">
        <v>2.5</v>
      </c>
      <c r="AG142" s="41">
        <v>629</v>
      </c>
      <c r="AH142" s="40">
        <v>84.4</v>
      </c>
      <c r="AI142" s="41">
        <v>17.7</v>
      </c>
      <c r="AJ142" s="40">
        <v>82400</v>
      </c>
      <c r="AK142" s="40">
        <v>93.7</v>
      </c>
      <c r="AL142" s="40">
        <v>329</v>
      </c>
      <c r="AM142" s="40">
        <v>108</v>
      </c>
      <c r="AN142" s="40">
        <v>311</v>
      </c>
      <c r="AO142" s="146" t="s">
        <v>331</v>
      </c>
      <c r="AP142" s="39" t="s">
        <v>69</v>
      </c>
      <c r="AQ142" s="40">
        <f t="shared" si="37"/>
        <v>105.96603229337221</v>
      </c>
      <c r="AR142" s="41">
        <f t="shared" si="47"/>
        <v>32.58</v>
      </c>
      <c r="AS142" s="37">
        <f t="shared" si="38"/>
        <v>320.57815053708578</v>
      </c>
      <c r="AT142" s="42">
        <f t="shared" si="39"/>
        <v>31450</v>
      </c>
      <c r="AU142" s="31">
        <f t="shared" si="40"/>
        <v>19215</v>
      </c>
      <c r="AV142" s="31">
        <f t="shared" si="41"/>
        <v>57.00982824327717</v>
      </c>
      <c r="AW142" s="37">
        <f t="shared" si="42"/>
        <v>10838.058905107622</v>
      </c>
      <c r="AX142" s="31">
        <f t="shared" si="43"/>
        <v>105.96603229337221</v>
      </c>
      <c r="AY142" s="42">
        <f t="shared" si="44"/>
        <v>36601.751980071589</v>
      </c>
      <c r="AZ142" s="42">
        <f t="shared" si="48"/>
        <v>5950094.3389040846</v>
      </c>
      <c r="BA142" s="42">
        <f t="shared" si="45"/>
        <v>35064.894149927575</v>
      </c>
      <c r="BB142" s="42">
        <f t="shared" si="46"/>
        <v>4220</v>
      </c>
      <c r="BC142" s="38">
        <f t="shared" si="49"/>
        <v>31.879999999999995</v>
      </c>
      <c r="BD142" s="38">
        <f t="shared" si="50"/>
        <v>47.582089552238799</v>
      </c>
      <c r="BE142" s="38">
        <f t="shared" si="51"/>
        <v>22.646000000000001</v>
      </c>
      <c r="BH142" s="34">
        <v>50.5</v>
      </c>
      <c r="BI142" s="43">
        <v>2.95</v>
      </c>
    </row>
    <row r="143" spans="14:61">
      <c r="N143" s="30" t="s">
        <v>339</v>
      </c>
      <c r="O143" s="40">
        <v>44.8</v>
      </c>
      <c r="P143" s="128">
        <v>33.5</v>
      </c>
      <c r="Q143" s="128">
        <v>0.63500000000000001</v>
      </c>
      <c r="R143" s="128">
        <v>11.6</v>
      </c>
      <c r="S143" s="128">
        <v>1.06</v>
      </c>
      <c r="T143" s="40">
        <v>1.76</v>
      </c>
      <c r="U143" s="132">
        <v>1.125</v>
      </c>
      <c r="V143" s="40">
        <v>5.48</v>
      </c>
      <c r="W143" s="84" t="s">
        <v>127</v>
      </c>
      <c r="X143" s="35">
        <f t="shared" si="35"/>
        <v>49.417322834645667</v>
      </c>
      <c r="Y143" s="36">
        <f t="shared" si="36"/>
        <v>3.0153815127361789</v>
      </c>
      <c r="Z143" s="34">
        <v>2.74</v>
      </c>
      <c r="AA143" s="40">
        <v>8160</v>
      </c>
      <c r="AB143" s="128">
        <v>487</v>
      </c>
      <c r="AC143" s="40">
        <v>13.5</v>
      </c>
      <c r="AD143" s="40">
        <v>273</v>
      </c>
      <c r="AE143" s="128">
        <v>47.2</v>
      </c>
      <c r="AF143" s="40">
        <v>2.4700000000000002</v>
      </c>
      <c r="AG143" s="41">
        <v>559</v>
      </c>
      <c r="AH143" s="40">
        <v>73.900000000000006</v>
      </c>
      <c r="AI143" s="41">
        <v>12.4</v>
      </c>
      <c r="AJ143" s="40">
        <v>71800</v>
      </c>
      <c r="AK143" s="40">
        <v>93.8</v>
      </c>
      <c r="AL143" s="40">
        <v>286</v>
      </c>
      <c r="AM143" s="40">
        <v>93.5</v>
      </c>
      <c r="AN143" s="40">
        <v>276</v>
      </c>
      <c r="AO143" s="146" t="s">
        <v>331</v>
      </c>
      <c r="AP143" s="39" t="s">
        <v>69</v>
      </c>
      <c r="AQ143" s="40">
        <f t="shared" si="37"/>
        <v>104.69443990585174</v>
      </c>
      <c r="AR143" s="41">
        <f t="shared" si="47"/>
        <v>32.44</v>
      </c>
      <c r="AS143" s="37">
        <f t="shared" si="38"/>
        <v>308.88221494809517</v>
      </c>
      <c r="AT143" s="42">
        <f t="shared" si="39"/>
        <v>27950</v>
      </c>
      <c r="AU143" s="31">
        <f t="shared" si="40"/>
        <v>17045</v>
      </c>
      <c r="AV143" s="31">
        <f t="shared" si="41"/>
        <v>53.406723285681117</v>
      </c>
      <c r="AW143" s="37">
        <f t="shared" si="42"/>
        <v>10711.20036455453</v>
      </c>
      <c r="AX143" s="31">
        <f t="shared" si="43"/>
        <v>104.69443990585174</v>
      </c>
      <c r="AY143" s="42">
        <f t="shared" si="44"/>
        <v>32708.24209834457</v>
      </c>
      <c r="AZ143" s="42">
        <f t="shared" si="48"/>
        <v>5216354.5775380563</v>
      </c>
      <c r="BA143" s="42">
        <f t="shared" si="45"/>
        <v>31171.938758067852</v>
      </c>
      <c r="BB143" s="42">
        <f t="shared" si="46"/>
        <v>3695.0000000000005</v>
      </c>
      <c r="BC143" s="38">
        <f t="shared" si="49"/>
        <v>31.74</v>
      </c>
      <c r="BD143" s="38">
        <f t="shared" si="50"/>
        <v>49.984251968503933</v>
      </c>
      <c r="BE143" s="38">
        <f t="shared" si="51"/>
        <v>21.272500000000001</v>
      </c>
      <c r="BH143" s="34">
        <v>52.7</v>
      </c>
      <c r="BI143" s="43">
        <v>2.94</v>
      </c>
    </row>
    <row r="144" spans="14:61">
      <c r="N144" s="30" t="s">
        <v>340</v>
      </c>
      <c r="O144" s="40">
        <v>41.6</v>
      </c>
      <c r="P144" s="128">
        <v>33.299999999999997</v>
      </c>
      <c r="Q144" s="128">
        <v>0.60499999999999998</v>
      </c>
      <c r="R144" s="128">
        <v>11.5</v>
      </c>
      <c r="S144" s="128">
        <v>0.96</v>
      </c>
      <c r="T144" s="40">
        <v>1.66</v>
      </c>
      <c r="U144" s="132">
        <v>1.125</v>
      </c>
      <c r="V144" s="40">
        <v>6.01</v>
      </c>
      <c r="W144" s="84" t="s">
        <v>127</v>
      </c>
      <c r="X144" s="35">
        <f t="shared" si="35"/>
        <v>51.867768595041319</v>
      </c>
      <c r="Y144" s="36">
        <f t="shared" si="36"/>
        <v>2.9797755787978395</v>
      </c>
      <c r="Z144" s="34">
        <v>3.01</v>
      </c>
      <c r="AA144" s="40">
        <v>7450</v>
      </c>
      <c r="AB144" s="128">
        <v>448</v>
      </c>
      <c r="AC144" s="40">
        <v>13.4</v>
      </c>
      <c r="AD144" s="40">
        <v>246</v>
      </c>
      <c r="AE144" s="128">
        <v>42.7</v>
      </c>
      <c r="AF144" s="40">
        <v>2.4300000000000002</v>
      </c>
      <c r="AG144" s="41">
        <v>514</v>
      </c>
      <c r="AH144" s="40">
        <v>66.900000000000006</v>
      </c>
      <c r="AI144" s="41">
        <v>9.6999999999999993</v>
      </c>
      <c r="AJ144" s="40">
        <v>64300</v>
      </c>
      <c r="AK144" s="40">
        <v>93.3</v>
      </c>
      <c r="AL144" s="40">
        <v>258</v>
      </c>
      <c r="AM144" s="40">
        <v>84.8</v>
      </c>
      <c r="AN144" s="40">
        <v>254</v>
      </c>
      <c r="AO144" s="146" t="s">
        <v>331</v>
      </c>
      <c r="AP144" s="39" t="s">
        <v>69</v>
      </c>
      <c r="AQ144" s="40">
        <f t="shared" si="37"/>
        <v>102.9989833891578</v>
      </c>
      <c r="AR144" s="41">
        <f t="shared" si="47"/>
        <v>32.339999999999996</v>
      </c>
      <c r="AS144" s="37">
        <f t="shared" si="38"/>
        <v>299.81652833599696</v>
      </c>
      <c r="AT144" s="42">
        <f t="shared" si="39"/>
        <v>25700</v>
      </c>
      <c r="AU144" s="31">
        <f t="shared" si="40"/>
        <v>15680</v>
      </c>
      <c r="AV144" s="31">
        <f t="shared" si="41"/>
        <v>50.910095452650943</v>
      </c>
      <c r="AW144" s="37">
        <f t="shared" si="42"/>
        <v>10458.653534408189</v>
      </c>
      <c r="AX144" s="31">
        <f t="shared" si="43"/>
        <v>102.9989833891578</v>
      </c>
      <c r="AY144" s="42">
        <f t="shared" si="44"/>
        <v>30149.490586806678</v>
      </c>
      <c r="AZ144" s="42">
        <f t="shared" si="48"/>
        <v>4685476.7834148686</v>
      </c>
      <c r="BA144" s="42">
        <f t="shared" si="45"/>
        <v>28660.460922131122</v>
      </c>
      <c r="BB144" s="42">
        <f t="shared" si="46"/>
        <v>3345.0000000000005</v>
      </c>
      <c r="BC144" s="38">
        <f t="shared" si="49"/>
        <v>31.639999999999997</v>
      </c>
      <c r="BD144" s="38">
        <f t="shared" si="50"/>
        <v>52.297520661157023</v>
      </c>
      <c r="BE144" s="38">
        <f t="shared" si="51"/>
        <v>20.146499999999996</v>
      </c>
      <c r="BH144" s="34">
        <v>55</v>
      </c>
      <c r="BI144" s="43">
        <v>2.92</v>
      </c>
    </row>
    <row r="145" spans="14:61">
      <c r="N145" s="30" t="s">
        <v>341</v>
      </c>
      <c r="O145" s="40">
        <v>38.299999999999997</v>
      </c>
      <c r="P145" s="128">
        <v>33.1</v>
      </c>
      <c r="Q145" s="128">
        <v>0.57999999999999996</v>
      </c>
      <c r="R145" s="128">
        <v>11.5</v>
      </c>
      <c r="S145" s="128">
        <v>0.85499999999999998</v>
      </c>
      <c r="T145" s="40">
        <v>1.56</v>
      </c>
      <c r="U145" s="129">
        <v>1.125</v>
      </c>
      <c r="V145" s="40">
        <v>6.73</v>
      </c>
      <c r="W145" s="84" t="s">
        <v>127</v>
      </c>
      <c r="X145" s="35">
        <f t="shared" si="35"/>
        <v>54.12068965517242</v>
      </c>
      <c r="Y145" s="36">
        <f t="shared" si="36"/>
        <v>2.9422625421595323</v>
      </c>
      <c r="Z145" s="34">
        <v>3.36</v>
      </c>
      <c r="AA145" s="40">
        <v>6710</v>
      </c>
      <c r="AB145" s="128">
        <v>406</v>
      </c>
      <c r="AC145" s="40">
        <v>13.2</v>
      </c>
      <c r="AD145" s="40">
        <v>218</v>
      </c>
      <c r="AE145" s="128">
        <v>37.9</v>
      </c>
      <c r="AF145" s="40">
        <v>2.39</v>
      </c>
      <c r="AG145" s="41">
        <v>467</v>
      </c>
      <c r="AH145" s="40">
        <v>59.5</v>
      </c>
      <c r="AI145" s="41">
        <v>7.37</v>
      </c>
      <c r="AJ145" s="40">
        <v>56600</v>
      </c>
      <c r="AK145" s="40">
        <v>92.8</v>
      </c>
      <c r="AL145" s="40">
        <v>228</v>
      </c>
      <c r="AM145" s="40">
        <v>75.3</v>
      </c>
      <c r="AN145" s="40">
        <v>230</v>
      </c>
      <c r="AO145" s="146" t="s">
        <v>331</v>
      </c>
      <c r="AP145" s="39" t="s">
        <v>69</v>
      </c>
      <c r="AQ145" s="40">
        <f t="shared" si="37"/>
        <v>101.30352687246383</v>
      </c>
      <c r="AR145" s="41">
        <f t="shared" si="47"/>
        <v>32.245000000000005</v>
      </c>
      <c r="AS145" s="37">
        <f t="shared" si="38"/>
        <v>291.15152897553094</v>
      </c>
      <c r="AT145" s="42">
        <f t="shared" si="39"/>
        <v>23350</v>
      </c>
      <c r="AU145" s="31">
        <f t="shared" si="40"/>
        <v>14210</v>
      </c>
      <c r="AV145" s="31">
        <f t="shared" si="41"/>
        <v>48.143777647119826</v>
      </c>
      <c r="AW145" s="37">
        <f t="shared" si="42"/>
        <v>10195.97618181183</v>
      </c>
      <c r="AX145" s="31">
        <f t="shared" si="43"/>
        <v>101.30352687246383</v>
      </c>
      <c r="AY145" s="42">
        <f t="shared" si="44"/>
        <v>27476.091541321857</v>
      </c>
      <c r="AZ145" s="42">
        <f t="shared" si="48"/>
        <v>4139566.3298156029</v>
      </c>
      <c r="BA145" s="42">
        <f t="shared" si="45"/>
        <v>26050.460362103637</v>
      </c>
      <c r="BB145" s="42">
        <f t="shared" si="46"/>
        <v>2975</v>
      </c>
      <c r="BC145" s="38">
        <f t="shared" si="49"/>
        <v>31.540000000000003</v>
      </c>
      <c r="BD145" s="38">
        <f t="shared" si="50"/>
        <v>54.379310344827594</v>
      </c>
      <c r="BE145" s="38">
        <f t="shared" si="51"/>
        <v>19.198</v>
      </c>
      <c r="BH145" s="34">
        <v>57.1</v>
      </c>
      <c r="BI145" s="43">
        <v>2.88</v>
      </c>
    </row>
    <row r="146" spans="14:61">
      <c r="N146" s="30" t="s">
        <v>342</v>
      </c>
      <c r="O146" s="40">
        <v>34.700000000000003</v>
      </c>
      <c r="P146" s="128">
        <v>32.9</v>
      </c>
      <c r="Q146" s="128">
        <v>0.55000000000000004</v>
      </c>
      <c r="R146" s="128">
        <v>11.5</v>
      </c>
      <c r="S146" s="128">
        <v>0.74</v>
      </c>
      <c r="T146" s="40">
        <v>1.44</v>
      </c>
      <c r="U146" s="132">
        <v>1.125</v>
      </c>
      <c r="V146" s="40">
        <v>7.76</v>
      </c>
      <c r="W146" s="84" t="s">
        <v>127</v>
      </c>
      <c r="X146" s="35">
        <f t="shared" si="35"/>
        <v>57.127272727272718</v>
      </c>
      <c r="Y146" s="36">
        <f t="shared" si="36"/>
        <v>2.8941204445620974</v>
      </c>
      <c r="Z146" s="34">
        <v>3.87</v>
      </c>
      <c r="AA146" s="40">
        <v>5900</v>
      </c>
      <c r="AB146" s="128">
        <v>359</v>
      </c>
      <c r="AC146" s="40">
        <v>13</v>
      </c>
      <c r="AD146" s="40">
        <v>187</v>
      </c>
      <c r="AE146" s="128">
        <v>32.6</v>
      </c>
      <c r="AF146" s="40">
        <v>2.3199999999999998</v>
      </c>
      <c r="AG146" s="41">
        <v>415</v>
      </c>
      <c r="AH146" s="40">
        <v>51.3</v>
      </c>
      <c r="AI146" s="41">
        <v>5.3</v>
      </c>
      <c r="AJ146" s="40">
        <v>48200</v>
      </c>
      <c r="AK146" s="40">
        <v>92.2</v>
      </c>
      <c r="AL146" s="40">
        <v>196</v>
      </c>
      <c r="AM146" s="40">
        <v>64.900000000000006</v>
      </c>
      <c r="AN146" s="40">
        <v>204</v>
      </c>
      <c r="AO146" s="146" t="s">
        <v>331</v>
      </c>
      <c r="AP146" s="39" t="s">
        <v>69</v>
      </c>
      <c r="AQ146" s="40">
        <f t="shared" si="37"/>
        <v>98.336477968249397</v>
      </c>
      <c r="AR146" s="41">
        <f t="shared" si="47"/>
        <v>32.159999999999997</v>
      </c>
      <c r="AS146" s="37">
        <f t="shared" si="38"/>
        <v>281.74592143851947</v>
      </c>
      <c r="AT146" s="42">
        <f t="shared" si="39"/>
        <v>20750</v>
      </c>
      <c r="AU146" s="31">
        <f t="shared" si="40"/>
        <v>12565</v>
      </c>
      <c r="AV146" s="31">
        <f t="shared" si="41"/>
        <v>44.626927845875912</v>
      </c>
      <c r="AW146" s="37">
        <f t="shared" si="42"/>
        <v>9864.0911127385589</v>
      </c>
      <c r="AX146" s="31">
        <f t="shared" si="43"/>
        <v>98.336477968249397</v>
      </c>
      <c r="AY146" s="42">
        <f t="shared" si="44"/>
        <v>24442.274832510968</v>
      </c>
      <c r="AZ146" s="42">
        <f t="shared" si="48"/>
        <v>3541208.7094731429</v>
      </c>
      <c r="BA146" s="42">
        <f t="shared" si="45"/>
        <v>23168.300663437447</v>
      </c>
      <c r="BB146" s="42">
        <f t="shared" si="46"/>
        <v>2565</v>
      </c>
      <c r="BC146" s="38">
        <f t="shared" si="49"/>
        <v>31.459999999999997</v>
      </c>
      <c r="BD146" s="38">
        <f t="shared" si="50"/>
        <v>57.199999999999989</v>
      </c>
      <c r="BE146" s="38">
        <f t="shared" si="51"/>
        <v>18.095000000000002</v>
      </c>
      <c r="BH146" s="34">
        <v>59.7</v>
      </c>
      <c r="BI146" s="43">
        <v>2.84</v>
      </c>
    </row>
    <row r="147" spans="14:61">
      <c r="N147" s="123" t="s">
        <v>343</v>
      </c>
      <c r="O147" s="80">
        <v>170</v>
      </c>
      <c r="P147" s="124">
        <v>35.39</v>
      </c>
      <c r="Q147" s="124">
        <v>1.97</v>
      </c>
      <c r="R147" s="124">
        <v>16.2</v>
      </c>
      <c r="S147" s="124">
        <v>3.54</v>
      </c>
      <c r="T147" s="80">
        <v>4.3125</v>
      </c>
      <c r="U147" s="80">
        <v>1.6875</v>
      </c>
      <c r="V147" s="80">
        <v>2.2999999999999998</v>
      </c>
      <c r="W147" s="125" t="s">
        <v>127</v>
      </c>
      <c r="X147" s="35">
        <f t="shared" si="35"/>
        <v>14.37055837563452</v>
      </c>
      <c r="Y147" s="36">
        <f t="shared" si="36"/>
        <v>4.6417225504433288</v>
      </c>
      <c r="Z147" s="80">
        <v>0.62</v>
      </c>
      <c r="AA147" s="80">
        <v>33000</v>
      </c>
      <c r="AB147" s="124">
        <v>1870</v>
      </c>
      <c r="AC147" s="80">
        <v>13.9</v>
      </c>
      <c r="AD147" s="80">
        <v>2530</v>
      </c>
      <c r="AE147" s="124">
        <v>312</v>
      </c>
      <c r="AF147" s="80">
        <v>3.86</v>
      </c>
      <c r="AG147" s="81">
        <v>2210</v>
      </c>
      <c r="AH147" s="80">
        <v>492</v>
      </c>
      <c r="AI147" s="81">
        <v>537</v>
      </c>
      <c r="AJ147" s="80">
        <v>636000</v>
      </c>
      <c r="AK147" s="80">
        <v>129</v>
      </c>
      <c r="AL147" s="80">
        <v>1850</v>
      </c>
      <c r="AM147" s="80">
        <v>402</v>
      </c>
      <c r="AN147" s="80">
        <v>1110</v>
      </c>
      <c r="AO147" s="125" t="s">
        <v>344</v>
      </c>
      <c r="AP147" s="126" t="s">
        <v>69</v>
      </c>
      <c r="AQ147" s="40">
        <f t="shared" si="37"/>
        <v>163.61155386096667</v>
      </c>
      <c r="AR147" s="41">
        <f t="shared" si="47"/>
        <v>31.85</v>
      </c>
      <c r="AS147" s="37">
        <f t="shared" si="38"/>
        <v>1021.8000019643574</v>
      </c>
      <c r="AT147" s="42">
        <f t="shared" si="39"/>
        <v>110500</v>
      </c>
      <c r="AU147" s="31">
        <f t="shared" si="40"/>
        <v>65450</v>
      </c>
      <c r="AV147" s="31">
        <f t="shared" si="41"/>
        <v>52.494297842811996</v>
      </c>
      <c r="AW147" s="37">
        <f t="shared" si="42"/>
        <v>25460.945079039448</v>
      </c>
      <c r="AX147" s="31">
        <f t="shared" si="43"/>
        <v>163.61155386096667</v>
      </c>
      <c r="AY147" s="42">
        <f t="shared" si="44"/>
        <v>118269.76259255499</v>
      </c>
      <c r="AZ147" s="42">
        <f t="shared" si="48"/>
        <v>47611967.297803767</v>
      </c>
      <c r="BA147" s="42">
        <f t="shared" si="45"/>
        <v>123810.25594231607</v>
      </c>
      <c r="BB147" s="42">
        <f t="shared" si="46"/>
        <v>24600</v>
      </c>
      <c r="BC147" s="38">
        <f t="shared" si="49"/>
        <v>31.077500000000001</v>
      </c>
      <c r="BD147" s="38">
        <f t="shared" si="50"/>
        <v>15.775380710659899</v>
      </c>
      <c r="BE147" s="38">
        <f t="shared" si="51"/>
        <v>69.718299999999999</v>
      </c>
      <c r="BH147" s="80">
        <v>18</v>
      </c>
      <c r="BI147" s="81">
        <v>4.34</v>
      </c>
    </row>
    <row r="148" spans="14:61">
      <c r="N148" s="123" t="s">
        <v>345</v>
      </c>
      <c r="O148" s="80">
        <v>154</v>
      </c>
      <c r="P148" s="124">
        <v>34.76</v>
      </c>
      <c r="Q148" s="124">
        <v>1.79</v>
      </c>
      <c r="R148" s="124">
        <v>16.02</v>
      </c>
      <c r="S148" s="124">
        <v>3.23</v>
      </c>
      <c r="T148" s="80">
        <v>4</v>
      </c>
      <c r="U148" s="80">
        <v>1.625</v>
      </c>
      <c r="V148" s="80">
        <v>2.5</v>
      </c>
      <c r="W148" s="125" t="s">
        <v>127</v>
      </c>
      <c r="X148" s="35">
        <f t="shared" si="35"/>
        <v>15.810055865921786</v>
      </c>
      <c r="Y148" s="36">
        <f t="shared" si="36"/>
        <v>4.5745120739031515</v>
      </c>
      <c r="Z148" s="80">
        <v>0.67</v>
      </c>
      <c r="AA148" s="80">
        <v>29300</v>
      </c>
      <c r="AB148" s="124">
        <v>1680</v>
      </c>
      <c r="AC148" s="80">
        <v>13.8</v>
      </c>
      <c r="AD148" s="80">
        <v>2230</v>
      </c>
      <c r="AE148" s="124">
        <v>278</v>
      </c>
      <c r="AF148" s="80">
        <v>3.8</v>
      </c>
      <c r="AG148" s="81">
        <v>1990</v>
      </c>
      <c r="AH148" s="80">
        <v>438</v>
      </c>
      <c r="AI148" s="81">
        <v>405</v>
      </c>
      <c r="AJ148" s="80">
        <v>550000</v>
      </c>
      <c r="AK148" s="80">
        <v>126</v>
      </c>
      <c r="AL148" s="80">
        <v>1630</v>
      </c>
      <c r="AM148" s="80">
        <v>364</v>
      </c>
      <c r="AN148" s="80">
        <v>993</v>
      </c>
      <c r="AO148" s="125" t="s">
        <v>344</v>
      </c>
      <c r="AP148" s="126" t="s">
        <v>69</v>
      </c>
      <c r="AQ148" s="40">
        <f t="shared" si="37"/>
        <v>161.06836908592575</v>
      </c>
      <c r="AR148" s="41">
        <f t="shared" si="47"/>
        <v>31.529999999999998</v>
      </c>
      <c r="AS148" s="37">
        <f t="shared" si="38"/>
        <v>932.28863755314171</v>
      </c>
      <c r="AT148" s="42">
        <f t="shared" si="39"/>
        <v>99500</v>
      </c>
      <c r="AU148" s="31">
        <f t="shared" si="40"/>
        <v>58800</v>
      </c>
      <c r="AV148" s="31">
        <f t="shared" si="41"/>
        <v>52.773509286640497</v>
      </c>
      <c r="AW148" s="37">
        <f t="shared" si="42"/>
        <v>24716.58464105444</v>
      </c>
      <c r="AX148" s="31">
        <f t="shared" si="43"/>
        <v>161.06836908592575</v>
      </c>
      <c r="AY148" s="42">
        <f t="shared" si="44"/>
        <v>107176.87632686854</v>
      </c>
      <c r="AZ148" s="42">
        <f t="shared" si="48"/>
        <v>41523862.196971461</v>
      </c>
      <c r="BA148" s="42">
        <f t="shared" si="45"/>
        <v>111525.02590127112</v>
      </c>
      <c r="BB148" s="42">
        <f t="shared" si="46"/>
        <v>21900</v>
      </c>
      <c r="BC148" s="38">
        <f t="shared" si="49"/>
        <v>30.759999999999998</v>
      </c>
      <c r="BD148" s="38">
        <f t="shared" si="50"/>
        <v>17.184357541899441</v>
      </c>
      <c r="BE148" s="38">
        <f t="shared" si="51"/>
        <v>62.220399999999998</v>
      </c>
      <c r="BH148" s="80">
        <v>19.399999999999999</v>
      </c>
      <c r="BI148" s="81">
        <v>4.29</v>
      </c>
    </row>
    <row r="149" spans="14:61">
      <c r="N149" s="123" t="s">
        <v>346</v>
      </c>
      <c r="O149" s="80">
        <v>140</v>
      </c>
      <c r="P149" s="124">
        <v>34.21</v>
      </c>
      <c r="Q149" s="124">
        <v>1.63</v>
      </c>
      <c r="R149" s="133">
        <v>15.865</v>
      </c>
      <c r="S149" s="124">
        <v>2.95</v>
      </c>
      <c r="T149" s="80">
        <v>3.75</v>
      </c>
      <c r="U149" s="80">
        <v>1.5625</v>
      </c>
      <c r="V149" s="80">
        <v>2.7</v>
      </c>
      <c r="W149" s="125" t="s">
        <v>127</v>
      </c>
      <c r="X149" s="35">
        <f t="shared" si="35"/>
        <v>17.368098159509206</v>
      </c>
      <c r="Y149" s="36">
        <f t="shared" si="36"/>
        <v>4.4860786841945064</v>
      </c>
      <c r="Z149" s="80">
        <v>0.73</v>
      </c>
      <c r="AA149" s="80">
        <v>26100</v>
      </c>
      <c r="AB149" s="124">
        <v>1530</v>
      </c>
      <c r="AC149" s="80">
        <v>13.7</v>
      </c>
      <c r="AD149" s="80">
        <v>1970</v>
      </c>
      <c r="AE149" s="124">
        <v>249</v>
      </c>
      <c r="AF149" s="80">
        <v>3.75</v>
      </c>
      <c r="AG149" s="81">
        <v>1790</v>
      </c>
      <c r="AH149" s="80">
        <v>390</v>
      </c>
      <c r="AI149" s="81">
        <v>307</v>
      </c>
      <c r="AJ149" s="80">
        <v>480000</v>
      </c>
      <c r="AK149" s="80">
        <v>124</v>
      </c>
      <c r="AL149" s="80">
        <v>1450</v>
      </c>
      <c r="AM149" s="80">
        <v>329</v>
      </c>
      <c r="AN149" s="80">
        <v>896</v>
      </c>
      <c r="AO149" s="125" t="s">
        <v>344</v>
      </c>
      <c r="AP149" s="126" t="s">
        <v>69</v>
      </c>
      <c r="AQ149" s="40">
        <f t="shared" si="37"/>
        <v>158.94904844005831</v>
      </c>
      <c r="AR149" s="41">
        <f t="shared" si="47"/>
        <v>31.26</v>
      </c>
      <c r="AS149" s="37">
        <f t="shared" si="38"/>
        <v>844.15104444308179</v>
      </c>
      <c r="AT149" s="42">
        <f t="shared" si="39"/>
        <v>89500</v>
      </c>
      <c r="AU149" s="31">
        <f t="shared" si="40"/>
        <v>53550</v>
      </c>
      <c r="AV149" s="31">
        <f t="shared" si="41"/>
        <v>52.466280322746414</v>
      </c>
      <c r="AW149" s="37">
        <f t="shared" si="42"/>
        <v>23759.788982847687</v>
      </c>
      <c r="AX149" s="31">
        <f t="shared" si="43"/>
        <v>158.94904844005831</v>
      </c>
      <c r="AY149" s="42">
        <f t="shared" si="44"/>
        <v>97020.99135945506</v>
      </c>
      <c r="AZ149" s="42">
        <f t="shared" si="48"/>
        <v>36352477.143756963</v>
      </c>
      <c r="BA149" s="42">
        <f t="shared" si="45"/>
        <v>100121.61378748641</v>
      </c>
      <c r="BB149" s="42">
        <f t="shared" si="46"/>
        <v>19500</v>
      </c>
      <c r="BC149" s="38">
        <f t="shared" si="49"/>
        <v>30.46</v>
      </c>
      <c r="BD149" s="38">
        <f t="shared" si="50"/>
        <v>18.687116564417181</v>
      </c>
      <c r="BE149" s="38">
        <f t="shared" si="51"/>
        <v>55.762299999999996</v>
      </c>
      <c r="BH149" s="80">
        <v>21</v>
      </c>
      <c r="BI149" s="81">
        <v>4.24</v>
      </c>
    </row>
    <row r="150" spans="14:61">
      <c r="N150" s="123" t="s">
        <v>347</v>
      </c>
      <c r="O150" s="80">
        <v>127</v>
      </c>
      <c r="P150" s="124">
        <v>33.659999999999997</v>
      </c>
      <c r="Q150" s="124">
        <v>1.5</v>
      </c>
      <c r="R150" s="133">
        <v>15.725</v>
      </c>
      <c r="S150" s="124">
        <v>2.68</v>
      </c>
      <c r="T150" s="80">
        <v>3.4375</v>
      </c>
      <c r="U150" s="80">
        <v>1.5</v>
      </c>
      <c r="V150" s="80">
        <v>2.9</v>
      </c>
      <c r="W150" s="125" t="s">
        <v>127</v>
      </c>
      <c r="X150" s="35">
        <f t="shared" si="35"/>
        <v>18.866666666666664</v>
      </c>
      <c r="Y150" s="36">
        <f t="shared" si="36"/>
        <v>4.4320554985276281</v>
      </c>
      <c r="Z150" s="80">
        <v>0.8</v>
      </c>
      <c r="AA150" s="80">
        <v>23200</v>
      </c>
      <c r="AB150" s="124">
        <v>1380</v>
      </c>
      <c r="AC150" s="80">
        <v>13.5</v>
      </c>
      <c r="AD150" s="80">
        <v>1750</v>
      </c>
      <c r="AE150" s="124">
        <v>222</v>
      </c>
      <c r="AF150" s="80">
        <v>3.71</v>
      </c>
      <c r="AG150" s="81">
        <v>1610</v>
      </c>
      <c r="AH150" s="80">
        <v>348</v>
      </c>
      <c r="AI150" s="81">
        <v>231</v>
      </c>
      <c r="AJ150" s="80">
        <v>417000</v>
      </c>
      <c r="AK150" s="80">
        <v>122</v>
      </c>
      <c r="AL150" s="80">
        <v>1280</v>
      </c>
      <c r="AM150" s="80">
        <v>297</v>
      </c>
      <c r="AN150" s="80">
        <v>805</v>
      </c>
      <c r="AO150" s="125" t="s">
        <v>344</v>
      </c>
      <c r="AP150" s="126" t="s">
        <v>69</v>
      </c>
      <c r="AQ150" s="40">
        <f t="shared" si="37"/>
        <v>157.25359192336435</v>
      </c>
      <c r="AR150" s="41">
        <f t="shared" si="47"/>
        <v>30.979999999999997</v>
      </c>
      <c r="AS150" s="37">
        <f t="shared" si="38"/>
        <v>772.96665081508854</v>
      </c>
      <c r="AT150" s="42">
        <f t="shared" si="39"/>
        <v>80500</v>
      </c>
      <c r="AU150" s="31">
        <f t="shared" si="40"/>
        <v>48300</v>
      </c>
      <c r="AV150" s="31">
        <f t="shared" si="41"/>
        <v>52.297087961654739</v>
      </c>
      <c r="AW150" s="37">
        <f t="shared" si="42"/>
        <v>23181.381823763622</v>
      </c>
      <c r="AX150" s="31">
        <f t="shared" si="43"/>
        <v>157.25359192336435</v>
      </c>
      <c r="AY150" s="42">
        <f t="shared" si="44"/>
        <v>87908.070356900527</v>
      </c>
      <c r="AZ150" s="42">
        <f t="shared" si="48"/>
        <v>31990306.916793797</v>
      </c>
      <c r="BA150" s="42">
        <f t="shared" si="45"/>
        <v>90013.656855551104</v>
      </c>
      <c r="BB150" s="42">
        <f t="shared" si="46"/>
        <v>17400</v>
      </c>
      <c r="BC150" s="38">
        <f t="shared" si="49"/>
        <v>30.222499999999997</v>
      </c>
      <c r="BD150" s="38">
        <f t="shared" si="50"/>
        <v>20.14833333333333</v>
      </c>
      <c r="BE150" s="38">
        <f t="shared" si="51"/>
        <v>50.489999999999995</v>
      </c>
      <c r="BH150" s="80">
        <v>22.4</v>
      </c>
      <c r="BI150" s="81">
        <v>4.2</v>
      </c>
    </row>
    <row r="151" spans="14:61">
      <c r="N151" s="30" t="s">
        <v>348</v>
      </c>
      <c r="O151" s="40">
        <v>115</v>
      </c>
      <c r="P151" s="128">
        <v>33.200000000000003</v>
      </c>
      <c r="Q151" s="128">
        <v>1.36</v>
      </c>
      <c r="R151" s="128">
        <v>15.6</v>
      </c>
      <c r="S151" s="128">
        <v>2.44</v>
      </c>
      <c r="T151" s="40">
        <v>3.23</v>
      </c>
      <c r="U151" s="132">
        <v>1.5</v>
      </c>
      <c r="V151" s="40">
        <v>3.19</v>
      </c>
      <c r="W151" s="84" t="s">
        <v>127</v>
      </c>
      <c r="X151" s="35">
        <f t="shared" si="35"/>
        <v>20.823529411764707</v>
      </c>
      <c r="Y151" s="36">
        <f t="shared" si="36"/>
        <v>4.3670585065922811</v>
      </c>
      <c r="Z151" s="34">
        <v>0.87</v>
      </c>
      <c r="AA151" s="40">
        <v>20700</v>
      </c>
      <c r="AB151" s="128">
        <v>1250</v>
      </c>
      <c r="AC151" s="40">
        <v>13.4</v>
      </c>
      <c r="AD151" s="40">
        <v>1550</v>
      </c>
      <c r="AE151" s="128">
        <v>198</v>
      </c>
      <c r="AF151" s="40">
        <v>3.67</v>
      </c>
      <c r="AG151" s="41">
        <v>1450</v>
      </c>
      <c r="AH151" s="40">
        <v>310</v>
      </c>
      <c r="AI151" s="41">
        <v>173</v>
      </c>
      <c r="AJ151" s="40">
        <v>366000</v>
      </c>
      <c r="AK151" s="40">
        <v>120</v>
      </c>
      <c r="AL151" s="40">
        <v>1140</v>
      </c>
      <c r="AM151" s="40">
        <v>267</v>
      </c>
      <c r="AN151" s="40">
        <v>721</v>
      </c>
      <c r="AO151" s="146" t="s">
        <v>349</v>
      </c>
      <c r="AP151" s="39" t="s">
        <v>69</v>
      </c>
      <c r="AQ151" s="40">
        <f t="shared" si="37"/>
        <v>155.5581354066704</v>
      </c>
      <c r="AR151" s="41">
        <f t="shared" si="47"/>
        <v>30.76</v>
      </c>
      <c r="AS151" s="37">
        <f t="shared" si="38"/>
        <v>705.05734584026766</v>
      </c>
      <c r="AT151" s="42">
        <f t="shared" si="39"/>
        <v>72500</v>
      </c>
      <c r="AU151" s="31">
        <f t="shared" si="40"/>
        <v>43750</v>
      </c>
      <c r="AV151" s="31">
        <f t="shared" si="41"/>
        <v>52.320366351962605</v>
      </c>
      <c r="AW151" s="37">
        <f t="shared" si="42"/>
        <v>22498.128254859577</v>
      </c>
      <c r="AX151" s="31">
        <f t="shared" si="43"/>
        <v>155.5581354066704</v>
      </c>
      <c r="AY151" s="42">
        <f t="shared" si="44"/>
        <v>79822.660918414578</v>
      </c>
      <c r="AZ151" s="42">
        <f t="shared" si="48"/>
        <v>28122660.318574473</v>
      </c>
      <c r="BA151" s="42">
        <f t="shared" si="45"/>
        <v>80994.336478170633</v>
      </c>
      <c r="BB151" s="42">
        <f t="shared" si="46"/>
        <v>15500</v>
      </c>
      <c r="BC151" s="38">
        <f t="shared" si="49"/>
        <v>29.970000000000002</v>
      </c>
      <c r="BD151" s="38">
        <f t="shared" si="50"/>
        <v>22.036764705882351</v>
      </c>
      <c r="BE151" s="38">
        <f t="shared" si="51"/>
        <v>45.152000000000008</v>
      </c>
      <c r="BH151" s="34">
        <v>24.4</v>
      </c>
      <c r="BI151" s="43">
        <v>4.16</v>
      </c>
    </row>
    <row r="152" spans="14:61">
      <c r="N152" s="30" t="s">
        <v>350</v>
      </c>
      <c r="O152" s="40">
        <v>105</v>
      </c>
      <c r="P152" s="128">
        <v>32.799999999999997</v>
      </c>
      <c r="Q152" s="128">
        <v>1.24</v>
      </c>
      <c r="R152" s="128">
        <v>15.5</v>
      </c>
      <c r="S152" s="128">
        <v>2.2400000000000002</v>
      </c>
      <c r="T152" s="40">
        <v>3.03</v>
      </c>
      <c r="U152" s="33">
        <v>1.375</v>
      </c>
      <c r="V152" s="40">
        <v>3.45</v>
      </c>
      <c r="W152" s="84" t="s">
        <v>127</v>
      </c>
      <c r="X152" s="35">
        <f t="shared" si="35"/>
        <v>22.838709677419352</v>
      </c>
      <c r="Y152" s="36">
        <f t="shared" si="36"/>
        <v>4.316349984996867</v>
      </c>
      <c r="Z152" s="34">
        <v>0.95</v>
      </c>
      <c r="AA152" s="40">
        <v>18700</v>
      </c>
      <c r="AB152" s="128">
        <v>1140</v>
      </c>
      <c r="AC152" s="40">
        <v>13.3</v>
      </c>
      <c r="AD152" s="40">
        <v>1390</v>
      </c>
      <c r="AE152" s="128">
        <v>179</v>
      </c>
      <c r="AF152" s="40">
        <v>3.64</v>
      </c>
      <c r="AG152" s="41">
        <v>1320</v>
      </c>
      <c r="AH152" s="40">
        <v>279</v>
      </c>
      <c r="AI152" s="41">
        <v>134</v>
      </c>
      <c r="AJ152" s="40">
        <v>325000</v>
      </c>
      <c r="AK152" s="40">
        <v>118</v>
      </c>
      <c r="AL152" s="40">
        <v>1020</v>
      </c>
      <c r="AM152" s="40">
        <v>244</v>
      </c>
      <c r="AN152" s="40">
        <v>654</v>
      </c>
      <c r="AO152" s="83" t="s">
        <v>344</v>
      </c>
      <c r="AP152" s="39" t="s">
        <v>69</v>
      </c>
      <c r="AQ152" s="40">
        <f t="shared" si="37"/>
        <v>154.28654301914995</v>
      </c>
      <c r="AR152" s="41">
        <f t="shared" si="47"/>
        <v>30.559999999999995</v>
      </c>
      <c r="AS152" s="37">
        <f t="shared" si="38"/>
        <v>654.60038618964711</v>
      </c>
      <c r="AT152" s="42">
        <f t="shared" si="39"/>
        <v>66000</v>
      </c>
      <c r="AU152" s="31">
        <f t="shared" si="40"/>
        <v>39900</v>
      </c>
      <c r="AV152" s="31">
        <f t="shared" si="41"/>
        <v>52.167255326384463</v>
      </c>
      <c r="AW152" s="37">
        <f t="shared" si="42"/>
        <v>21972.56143282499</v>
      </c>
      <c r="AX152" s="31">
        <f t="shared" si="43"/>
        <v>154.28654301914995</v>
      </c>
      <c r="AY152" s="42">
        <f t="shared" si="44"/>
        <v>73234.896300013599</v>
      </c>
      <c r="AZ152" s="42">
        <f t="shared" si="48"/>
        <v>25048720.033420488</v>
      </c>
      <c r="BA152" s="42">
        <f t="shared" si="45"/>
        <v>73711.380246269691</v>
      </c>
      <c r="BB152" s="42">
        <f t="shared" si="46"/>
        <v>13950</v>
      </c>
      <c r="BC152" s="38">
        <f t="shared" si="49"/>
        <v>29.769999999999996</v>
      </c>
      <c r="BD152" s="38">
        <f t="shared" si="50"/>
        <v>24.008064516129028</v>
      </c>
      <c r="BE152" s="38">
        <f t="shared" si="51"/>
        <v>40.671999999999997</v>
      </c>
      <c r="BH152" s="34">
        <v>26.5</v>
      </c>
      <c r="BI152" s="43">
        <v>4.12</v>
      </c>
    </row>
    <row r="153" spans="14:61">
      <c r="N153" s="30" t="s">
        <v>351</v>
      </c>
      <c r="O153" s="40">
        <v>95.8</v>
      </c>
      <c r="P153" s="128">
        <v>32.4</v>
      </c>
      <c r="Q153" s="128">
        <v>1.1399999999999999</v>
      </c>
      <c r="R153" s="128">
        <v>15.4</v>
      </c>
      <c r="S153" s="128">
        <v>2.0499999999999998</v>
      </c>
      <c r="T153" s="40">
        <v>2.84</v>
      </c>
      <c r="U153" s="132">
        <v>1.375</v>
      </c>
      <c r="V153" s="40">
        <v>3.75</v>
      </c>
      <c r="W153" s="84" t="s">
        <v>127</v>
      </c>
      <c r="X153" s="35">
        <f t="shared" si="35"/>
        <v>24.82456140350877</v>
      </c>
      <c r="Y153" s="36">
        <f t="shared" si="36"/>
        <v>4.2536183691968921</v>
      </c>
      <c r="Z153" s="34">
        <v>1.03</v>
      </c>
      <c r="AA153" s="40">
        <v>16800</v>
      </c>
      <c r="AB153" s="128">
        <v>1040</v>
      </c>
      <c r="AC153" s="40">
        <v>13.2</v>
      </c>
      <c r="AD153" s="40">
        <v>1240</v>
      </c>
      <c r="AE153" s="128">
        <v>162</v>
      </c>
      <c r="AF153" s="40">
        <v>3.6</v>
      </c>
      <c r="AG153" s="41">
        <v>1190</v>
      </c>
      <c r="AH153" s="40">
        <v>252</v>
      </c>
      <c r="AI153" s="41">
        <v>103</v>
      </c>
      <c r="AJ153" s="40">
        <v>286000</v>
      </c>
      <c r="AK153" s="40">
        <v>117</v>
      </c>
      <c r="AL153" s="40">
        <v>919</v>
      </c>
      <c r="AM153" s="40">
        <v>221</v>
      </c>
      <c r="AN153" s="40">
        <v>592</v>
      </c>
      <c r="AO153" s="146" t="s">
        <v>349</v>
      </c>
      <c r="AP153" s="39" t="s">
        <v>69</v>
      </c>
      <c r="AQ153" s="40">
        <f t="shared" si="37"/>
        <v>152.59108650245597</v>
      </c>
      <c r="AR153" s="41">
        <f t="shared" si="47"/>
        <v>30.349999999999998</v>
      </c>
      <c r="AS153" s="37">
        <f t="shared" si="38"/>
        <v>606.599582617181</v>
      </c>
      <c r="AT153" s="42">
        <f t="shared" si="39"/>
        <v>59500</v>
      </c>
      <c r="AU153" s="31">
        <f t="shared" si="40"/>
        <v>36400</v>
      </c>
      <c r="AV153" s="31">
        <f t="shared" si="41"/>
        <v>50.880105103061283</v>
      </c>
      <c r="AW153" s="37">
        <f t="shared" si="42"/>
        <v>21333.261905242227</v>
      </c>
      <c r="AX153" s="31">
        <f t="shared" si="43"/>
        <v>152.59108650245597</v>
      </c>
      <c r="AY153" s="42">
        <f t="shared" si="44"/>
        <v>66470.120879427515</v>
      </c>
      <c r="AZ153" s="42">
        <f t="shared" si="48"/>
        <v>22186592.381451916</v>
      </c>
      <c r="BA153" s="42">
        <f t="shared" si="45"/>
        <v>66325.014700721455</v>
      </c>
      <c r="BB153" s="42">
        <f t="shared" si="46"/>
        <v>12600</v>
      </c>
      <c r="BC153" s="38">
        <f t="shared" si="49"/>
        <v>29.56</v>
      </c>
      <c r="BD153" s="38">
        <f t="shared" si="50"/>
        <v>25.92982456140351</v>
      </c>
      <c r="BE153" s="38">
        <f t="shared" si="51"/>
        <v>36.935999999999993</v>
      </c>
      <c r="BH153" s="34">
        <v>28.4</v>
      </c>
      <c r="BI153" s="43">
        <v>4.09</v>
      </c>
    </row>
    <row r="154" spans="14:61">
      <c r="N154" s="30" t="s">
        <v>352</v>
      </c>
      <c r="O154" s="40">
        <v>85.9</v>
      </c>
      <c r="P154" s="128">
        <v>32</v>
      </c>
      <c r="Q154" s="128">
        <v>1.02</v>
      </c>
      <c r="R154" s="128">
        <v>15.3</v>
      </c>
      <c r="S154" s="128">
        <v>1.85</v>
      </c>
      <c r="T154" s="40">
        <v>2.64</v>
      </c>
      <c r="U154" s="132">
        <v>1.3125</v>
      </c>
      <c r="V154" s="40">
        <v>4.12</v>
      </c>
      <c r="W154" s="84" t="s">
        <v>127</v>
      </c>
      <c r="X154" s="35">
        <f t="shared" si="35"/>
        <v>27.745098039215687</v>
      </c>
      <c r="Y154" s="36">
        <f t="shared" si="36"/>
        <v>4.222634860047731</v>
      </c>
      <c r="Z154" s="34">
        <v>1.1299999999999999</v>
      </c>
      <c r="AA154" s="40">
        <v>14900</v>
      </c>
      <c r="AB154" s="128">
        <v>930</v>
      </c>
      <c r="AC154" s="40">
        <v>13.2</v>
      </c>
      <c r="AD154" s="40">
        <v>1100</v>
      </c>
      <c r="AE154" s="128">
        <v>144</v>
      </c>
      <c r="AF154" s="40">
        <v>3.58</v>
      </c>
      <c r="AG154" s="41">
        <v>1060</v>
      </c>
      <c r="AH154" s="40">
        <v>223</v>
      </c>
      <c r="AI154" s="41">
        <v>75.2</v>
      </c>
      <c r="AJ154" s="40">
        <v>250000</v>
      </c>
      <c r="AK154" s="40">
        <v>115</v>
      </c>
      <c r="AL154" s="40">
        <v>812</v>
      </c>
      <c r="AM154" s="40">
        <v>199</v>
      </c>
      <c r="AN154" s="40">
        <v>528</v>
      </c>
      <c r="AO154" s="146" t="s">
        <v>349</v>
      </c>
      <c r="AP154" s="39" t="s">
        <v>69</v>
      </c>
      <c r="AQ154" s="40">
        <f t="shared" si="37"/>
        <v>151.74335824410898</v>
      </c>
      <c r="AR154" s="41">
        <f t="shared" si="47"/>
        <v>30.15</v>
      </c>
      <c r="AS154" s="37">
        <f t="shared" si="38"/>
        <v>563.00921850687075</v>
      </c>
      <c r="AT154" s="42">
        <f t="shared" si="39"/>
        <v>53000</v>
      </c>
      <c r="AU154" s="31">
        <f t="shared" si="40"/>
        <v>32550</v>
      </c>
      <c r="AV154" s="31">
        <f t="shared" si="41"/>
        <v>49.724526093496543</v>
      </c>
      <c r="AW154" s="37">
        <f t="shared" si="42"/>
        <v>21017.653999591093</v>
      </c>
      <c r="AX154" s="31">
        <f t="shared" si="43"/>
        <v>151.74335824410898</v>
      </c>
      <c r="AY154" s="42">
        <f t="shared" si="44"/>
        <v>59769.663969465444</v>
      </c>
      <c r="AZ154" s="42">
        <f t="shared" si="48"/>
        <v>19546418.219619717</v>
      </c>
      <c r="BA154" s="42">
        <f t="shared" si="45"/>
        <v>59042.058468820505</v>
      </c>
      <c r="BB154" s="42">
        <f t="shared" si="46"/>
        <v>11150</v>
      </c>
      <c r="BC154" s="38">
        <f t="shared" si="49"/>
        <v>29.36</v>
      </c>
      <c r="BD154" s="38">
        <f t="shared" si="50"/>
        <v>28.784313725490193</v>
      </c>
      <c r="BE154" s="38">
        <f t="shared" si="51"/>
        <v>32.64</v>
      </c>
      <c r="BH154" s="34">
        <v>31.4</v>
      </c>
      <c r="BI154" s="43">
        <v>4.0599999999999996</v>
      </c>
    </row>
    <row r="155" spans="14:61">
      <c r="N155" s="30" t="s">
        <v>353</v>
      </c>
      <c r="O155" s="40">
        <v>76.900000000000006</v>
      </c>
      <c r="P155" s="128">
        <v>31.6</v>
      </c>
      <c r="Q155" s="128">
        <v>0.93</v>
      </c>
      <c r="R155" s="128">
        <v>15.2</v>
      </c>
      <c r="S155" s="128">
        <v>1.65</v>
      </c>
      <c r="T155" s="40">
        <v>2.44</v>
      </c>
      <c r="U155" s="132">
        <v>1.3125</v>
      </c>
      <c r="V155" s="40">
        <v>4.59</v>
      </c>
      <c r="W155" s="84" t="s">
        <v>127</v>
      </c>
      <c r="X155" s="35">
        <f t="shared" si="35"/>
        <v>30.43010752688172</v>
      </c>
      <c r="Y155" s="36">
        <f t="shared" si="36"/>
        <v>4.1621282078205306</v>
      </c>
      <c r="Z155" s="34">
        <v>1.26</v>
      </c>
      <c r="AA155" s="40">
        <v>13100</v>
      </c>
      <c r="AB155" s="128">
        <v>829</v>
      </c>
      <c r="AC155" s="40">
        <v>13.1</v>
      </c>
      <c r="AD155" s="40">
        <v>959</v>
      </c>
      <c r="AE155" s="128">
        <v>127</v>
      </c>
      <c r="AF155" s="40">
        <v>3.53</v>
      </c>
      <c r="AG155" s="41">
        <v>943</v>
      </c>
      <c r="AH155" s="40">
        <v>196</v>
      </c>
      <c r="AI155" s="41">
        <v>54.1</v>
      </c>
      <c r="AJ155" s="40">
        <v>215000</v>
      </c>
      <c r="AK155" s="40">
        <v>114</v>
      </c>
      <c r="AL155" s="40">
        <v>710</v>
      </c>
      <c r="AM155" s="40">
        <v>176</v>
      </c>
      <c r="AN155" s="40">
        <v>468</v>
      </c>
      <c r="AO155" s="146" t="s">
        <v>349</v>
      </c>
      <c r="AP155" s="39" t="s">
        <v>69</v>
      </c>
      <c r="AQ155" s="40">
        <f t="shared" si="37"/>
        <v>149.62403759824153</v>
      </c>
      <c r="AR155" s="41">
        <f t="shared" si="47"/>
        <v>29.950000000000003</v>
      </c>
      <c r="AS155" s="37">
        <f t="shared" si="38"/>
        <v>520.8670568217342</v>
      </c>
      <c r="AT155" s="42">
        <f t="shared" si="39"/>
        <v>47150</v>
      </c>
      <c r="AU155" s="31">
        <f t="shared" si="40"/>
        <v>29015</v>
      </c>
      <c r="AV155" s="31">
        <f t="shared" si="41"/>
        <v>48.849403385232456</v>
      </c>
      <c r="AW155" s="37">
        <f t="shared" si="42"/>
        <v>20414.879932767843</v>
      </c>
      <c r="AX155" s="31">
        <f t="shared" si="43"/>
        <v>149.62403759824153</v>
      </c>
      <c r="AY155" s="42">
        <f t="shared" si="44"/>
        <v>53696.994275954065</v>
      </c>
      <c r="AZ155" s="42">
        <f t="shared" si="48"/>
        <v>16923935.464264542</v>
      </c>
      <c r="BA155" s="42">
        <f t="shared" si="45"/>
        <v>52508.079722839109</v>
      </c>
      <c r="BB155" s="42">
        <f t="shared" si="46"/>
        <v>9800</v>
      </c>
      <c r="BC155" s="38">
        <f t="shared" si="49"/>
        <v>29.16</v>
      </c>
      <c r="BD155" s="38">
        <f t="shared" si="50"/>
        <v>31.354838709677416</v>
      </c>
      <c r="BE155" s="38">
        <f t="shared" si="51"/>
        <v>29.388000000000002</v>
      </c>
      <c r="BH155" s="34">
        <v>34</v>
      </c>
      <c r="BI155" s="43">
        <v>4.0199999999999996</v>
      </c>
    </row>
    <row r="156" spans="14:61">
      <c r="N156" s="30" t="s">
        <v>354</v>
      </c>
      <c r="O156" s="40">
        <v>69.2</v>
      </c>
      <c r="P156" s="128">
        <v>31.3</v>
      </c>
      <c r="Q156" s="128">
        <v>0.83</v>
      </c>
      <c r="R156" s="128">
        <v>15.1</v>
      </c>
      <c r="S156" s="128">
        <v>1.5</v>
      </c>
      <c r="T156" s="40">
        <v>2.29</v>
      </c>
      <c r="U156" s="132">
        <v>1.25</v>
      </c>
      <c r="V156" s="40">
        <v>5.0199999999999996</v>
      </c>
      <c r="W156" s="84" t="s">
        <v>127</v>
      </c>
      <c r="X156" s="35">
        <f t="shared" si="35"/>
        <v>34.096385542168676</v>
      </c>
      <c r="Y156" s="36">
        <f t="shared" si="36"/>
        <v>4.1269137514975363</v>
      </c>
      <c r="Z156" s="34">
        <v>1.39</v>
      </c>
      <c r="AA156" s="40">
        <v>11700</v>
      </c>
      <c r="AB156" s="128">
        <v>748</v>
      </c>
      <c r="AC156" s="40">
        <v>13</v>
      </c>
      <c r="AD156" s="40">
        <v>855</v>
      </c>
      <c r="AE156" s="128">
        <v>114</v>
      </c>
      <c r="AF156" s="40">
        <v>3.51</v>
      </c>
      <c r="AG156" s="41">
        <v>847</v>
      </c>
      <c r="AH156" s="40">
        <v>175</v>
      </c>
      <c r="AI156" s="41">
        <v>40.299999999999997</v>
      </c>
      <c r="AJ156" s="40">
        <v>190000</v>
      </c>
      <c r="AK156" s="40">
        <v>112</v>
      </c>
      <c r="AL156" s="40">
        <v>633</v>
      </c>
      <c r="AM156" s="40">
        <v>159</v>
      </c>
      <c r="AN156" s="40">
        <v>420</v>
      </c>
      <c r="AO156" s="146" t="s">
        <v>349</v>
      </c>
      <c r="AP156" s="39" t="s">
        <v>69</v>
      </c>
      <c r="AQ156" s="40">
        <f t="shared" si="37"/>
        <v>148.77630933989457</v>
      </c>
      <c r="AR156" s="41">
        <f t="shared" si="47"/>
        <v>29.8</v>
      </c>
      <c r="AS156" s="37">
        <f t="shared" si="38"/>
        <v>491.3243019907344</v>
      </c>
      <c r="AT156" s="42">
        <f t="shared" si="39"/>
        <v>42350</v>
      </c>
      <c r="AU156" s="31">
        <f t="shared" si="40"/>
        <v>26180</v>
      </c>
      <c r="AV156" s="31">
        <f t="shared" si="41"/>
        <v>47.205064244770305</v>
      </c>
      <c r="AW156" s="37">
        <f t="shared" si="42"/>
        <v>20067.163295982929</v>
      </c>
      <c r="AX156" s="31">
        <f t="shared" si="43"/>
        <v>148.77630933989457</v>
      </c>
      <c r="AY156" s="42">
        <f t="shared" si="44"/>
        <v>48636.59623827113</v>
      </c>
      <c r="AZ156" s="42">
        <f t="shared" si="48"/>
        <v>15010238.145395231</v>
      </c>
      <c r="BA156" s="42">
        <f t="shared" si="45"/>
        <v>47127.510290505015</v>
      </c>
      <c r="BB156" s="42">
        <f t="shared" si="46"/>
        <v>8750</v>
      </c>
      <c r="BC156" s="38">
        <f t="shared" si="49"/>
        <v>29.01</v>
      </c>
      <c r="BD156" s="38">
        <f t="shared" si="50"/>
        <v>34.951807228915669</v>
      </c>
      <c r="BE156" s="38">
        <f t="shared" si="51"/>
        <v>25.978999999999999</v>
      </c>
      <c r="BH156" s="34">
        <v>37.700000000000003</v>
      </c>
      <c r="BI156" s="43">
        <v>4</v>
      </c>
    </row>
    <row r="157" spans="14:61">
      <c r="N157" s="30" t="s">
        <v>355</v>
      </c>
      <c r="O157" s="40">
        <v>62.2</v>
      </c>
      <c r="P157" s="128">
        <v>30.9</v>
      </c>
      <c r="Q157" s="128">
        <v>0.77500000000000002</v>
      </c>
      <c r="R157" s="128">
        <v>15.1</v>
      </c>
      <c r="S157" s="128">
        <v>1.32</v>
      </c>
      <c r="T157" s="40">
        <v>2.1</v>
      </c>
      <c r="U157" s="132">
        <v>1.1875</v>
      </c>
      <c r="V157" s="40">
        <v>5.74</v>
      </c>
      <c r="W157" s="84" t="s">
        <v>127</v>
      </c>
      <c r="X157" s="35">
        <f t="shared" si="35"/>
        <v>36.464516129032255</v>
      </c>
      <c r="Y157" s="36">
        <f t="shared" si="36"/>
        <v>4.1031859985072403</v>
      </c>
      <c r="Z157" s="34">
        <v>1.56</v>
      </c>
      <c r="AA157" s="40">
        <v>10300</v>
      </c>
      <c r="AB157" s="128">
        <v>665</v>
      </c>
      <c r="AC157" s="40">
        <v>12.9</v>
      </c>
      <c r="AD157" s="40">
        <v>757</v>
      </c>
      <c r="AE157" s="128">
        <v>100</v>
      </c>
      <c r="AF157" s="40">
        <v>3.49</v>
      </c>
      <c r="AG157" s="41">
        <v>751</v>
      </c>
      <c r="AH157" s="40">
        <v>155</v>
      </c>
      <c r="AI157" s="41">
        <v>28.4</v>
      </c>
      <c r="AJ157" s="40">
        <v>166000</v>
      </c>
      <c r="AK157" s="40">
        <v>112</v>
      </c>
      <c r="AL157" s="40">
        <v>556</v>
      </c>
      <c r="AM157" s="40">
        <v>140</v>
      </c>
      <c r="AN157" s="40">
        <v>372</v>
      </c>
      <c r="AO157" s="146" t="s">
        <v>349</v>
      </c>
      <c r="AP157" s="39" t="s">
        <v>69</v>
      </c>
      <c r="AQ157" s="40">
        <f t="shared" si="37"/>
        <v>147.92858108154761</v>
      </c>
      <c r="AR157" s="41">
        <f t="shared" si="47"/>
        <v>29.58</v>
      </c>
      <c r="AS157" s="37">
        <f t="shared" si="38"/>
        <v>463.97146899373934</v>
      </c>
      <c r="AT157" s="42">
        <f t="shared" si="39"/>
        <v>37550</v>
      </c>
      <c r="AU157" s="31">
        <f t="shared" si="40"/>
        <v>23275</v>
      </c>
      <c r="AV157" s="31">
        <f t="shared" si="41"/>
        <v>45.167920386698007</v>
      </c>
      <c r="AW157" s="37">
        <f t="shared" si="42"/>
        <v>19833.240354245398</v>
      </c>
      <c r="AX157" s="31">
        <f t="shared" si="43"/>
        <v>147.92858108154761</v>
      </c>
      <c r="AY157" s="42">
        <f t="shared" si="44"/>
        <v>43527.006815176057</v>
      </c>
      <c r="AZ157" s="42">
        <f t="shared" si="48"/>
        <v>13189104.835573189</v>
      </c>
      <c r="BA157" s="42">
        <f t="shared" si="45"/>
        <v>41767.622720900377</v>
      </c>
      <c r="BB157" s="42">
        <f t="shared" si="46"/>
        <v>7750</v>
      </c>
      <c r="BC157" s="38">
        <f t="shared" si="49"/>
        <v>28.799999999999997</v>
      </c>
      <c r="BD157" s="38">
        <f t="shared" si="50"/>
        <v>37.161290322580641</v>
      </c>
      <c r="BE157" s="38">
        <f t="shared" si="51"/>
        <v>23.947499999999998</v>
      </c>
      <c r="BH157" s="34">
        <v>39.9</v>
      </c>
      <c r="BI157" s="43">
        <v>3.99</v>
      </c>
    </row>
    <row r="158" spans="14:61">
      <c r="N158" s="30" t="s">
        <v>356</v>
      </c>
      <c r="O158" s="40">
        <v>56.3</v>
      </c>
      <c r="P158" s="128">
        <v>30.7</v>
      </c>
      <c r="Q158" s="128">
        <v>0.71</v>
      </c>
      <c r="R158" s="128">
        <v>15</v>
      </c>
      <c r="S158" s="128">
        <v>1.19</v>
      </c>
      <c r="T158" s="40">
        <v>1.97</v>
      </c>
      <c r="U158" s="132">
        <v>1.1875</v>
      </c>
      <c r="V158" s="40">
        <v>6.35</v>
      </c>
      <c r="W158" s="84" t="s">
        <v>127</v>
      </c>
      <c r="X158" s="35">
        <f t="shared" si="35"/>
        <v>39.887323943661976</v>
      </c>
      <c r="Y158" s="36">
        <f t="shared" si="36"/>
        <v>4.0681926781639373</v>
      </c>
      <c r="Z158" s="34">
        <v>1.72</v>
      </c>
      <c r="AA158" s="40">
        <v>9200</v>
      </c>
      <c r="AB158" s="128">
        <v>600</v>
      </c>
      <c r="AC158" s="40">
        <v>12.8</v>
      </c>
      <c r="AD158" s="40">
        <v>673</v>
      </c>
      <c r="AE158" s="128">
        <v>89.5</v>
      </c>
      <c r="AF158" s="40">
        <v>3.46</v>
      </c>
      <c r="AG158" s="41">
        <v>675</v>
      </c>
      <c r="AH158" s="40">
        <v>138</v>
      </c>
      <c r="AI158" s="41">
        <v>21</v>
      </c>
      <c r="AJ158" s="40">
        <v>146000</v>
      </c>
      <c r="AK158" s="40">
        <v>111</v>
      </c>
      <c r="AL158" s="40">
        <v>494</v>
      </c>
      <c r="AM158" s="40">
        <v>125</v>
      </c>
      <c r="AN158" s="40">
        <v>334</v>
      </c>
      <c r="AO158" s="146" t="s">
        <v>349</v>
      </c>
      <c r="AP158" s="39" t="s">
        <v>69</v>
      </c>
      <c r="AQ158" s="40">
        <f t="shared" si="37"/>
        <v>146.65698869402712</v>
      </c>
      <c r="AR158" s="41">
        <f t="shared" si="47"/>
        <v>29.509999999999998</v>
      </c>
      <c r="AS158" s="37">
        <f t="shared" si="38"/>
        <v>442.91893476653541</v>
      </c>
      <c r="AT158" s="42">
        <f t="shared" si="39"/>
        <v>33750</v>
      </c>
      <c r="AU158" s="31">
        <f t="shared" si="40"/>
        <v>21000</v>
      </c>
      <c r="AV158" s="31">
        <f t="shared" si="41"/>
        <v>43.03623927751935</v>
      </c>
      <c r="AW158" s="37">
        <f t="shared" si="42"/>
        <v>19493.790685717577</v>
      </c>
      <c r="AX158" s="31">
        <f t="shared" si="43"/>
        <v>146.65698869402712</v>
      </c>
      <c r="AY158" s="42">
        <f t="shared" si="44"/>
        <v>39390.199924427303</v>
      </c>
      <c r="AZ158" s="42">
        <f t="shared" si="48"/>
        <v>11696274.411430545</v>
      </c>
      <c r="BA158" s="42">
        <f t="shared" si="45"/>
        <v>37517.053568580021</v>
      </c>
      <c r="BB158" s="42">
        <f t="shared" si="46"/>
        <v>6900</v>
      </c>
      <c r="BC158" s="38">
        <f t="shared" si="49"/>
        <v>28.73</v>
      </c>
      <c r="BD158" s="38">
        <f t="shared" si="50"/>
        <v>40.464788732394368</v>
      </c>
      <c r="BE158" s="38">
        <f t="shared" si="51"/>
        <v>21.796999999999997</v>
      </c>
      <c r="BH158" s="34">
        <v>43.2</v>
      </c>
      <c r="BI158" s="43">
        <v>3.97</v>
      </c>
    </row>
    <row r="159" spans="14:61">
      <c r="N159" s="30" t="s">
        <v>357</v>
      </c>
      <c r="O159" s="40">
        <v>51</v>
      </c>
      <c r="P159" s="128">
        <v>30.4</v>
      </c>
      <c r="Q159" s="128">
        <v>0.65500000000000003</v>
      </c>
      <c r="R159" s="128">
        <v>15</v>
      </c>
      <c r="S159" s="128">
        <v>1.07</v>
      </c>
      <c r="T159" s="40">
        <v>1.85</v>
      </c>
      <c r="U159" s="132">
        <v>1.125</v>
      </c>
      <c r="V159" s="40">
        <v>7.04</v>
      </c>
      <c r="W159" s="84" t="s">
        <v>127</v>
      </c>
      <c r="X159" s="35">
        <f t="shared" si="35"/>
        <v>43.145038167938928</v>
      </c>
      <c r="Y159" s="36">
        <f t="shared" si="36"/>
        <v>4.0261782009407048</v>
      </c>
      <c r="Z159" s="34">
        <v>1.91</v>
      </c>
      <c r="AA159" s="40">
        <v>8230</v>
      </c>
      <c r="AB159" s="128">
        <v>541</v>
      </c>
      <c r="AC159" s="40">
        <v>12.7</v>
      </c>
      <c r="AD159" s="40">
        <v>598</v>
      </c>
      <c r="AE159" s="128">
        <v>79.8</v>
      </c>
      <c r="AF159" s="40">
        <v>3.42</v>
      </c>
      <c r="AG159" s="41">
        <v>607</v>
      </c>
      <c r="AH159" s="40">
        <v>123</v>
      </c>
      <c r="AI159" s="41">
        <v>15.6</v>
      </c>
      <c r="AJ159" s="40">
        <v>129000</v>
      </c>
      <c r="AK159" s="40">
        <v>110</v>
      </c>
      <c r="AL159" s="40">
        <v>439</v>
      </c>
      <c r="AM159" s="40">
        <v>112</v>
      </c>
      <c r="AN159" s="40">
        <v>300</v>
      </c>
      <c r="AO159" s="146" t="s">
        <v>349</v>
      </c>
      <c r="AP159" s="39" t="s">
        <v>69</v>
      </c>
      <c r="AQ159" s="40">
        <f t="shared" si="37"/>
        <v>144.96153217733317</v>
      </c>
      <c r="AR159" s="41">
        <f t="shared" si="47"/>
        <v>29.33</v>
      </c>
      <c r="AS159" s="37">
        <f t="shared" si="38"/>
        <v>425.1544189329806</v>
      </c>
      <c r="AT159" s="42">
        <f t="shared" si="39"/>
        <v>30350</v>
      </c>
      <c r="AU159" s="31">
        <f t="shared" si="40"/>
        <v>18935</v>
      </c>
      <c r="AV159" s="31">
        <f t="shared" si="41"/>
        <v>40.739792263016554</v>
      </c>
      <c r="AW159" s="37">
        <f t="shared" si="42"/>
        <v>19091.230360230038</v>
      </c>
      <c r="AX159" s="31">
        <f t="shared" si="43"/>
        <v>144.96153217733317</v>
      </c>
      <c r="AY159" s="42">
        <f t="shared" si="44"/>
        <v>35620.161947730085</v>
      </c>
      <c r="AZ159" s="42">
        <f t="shared" si="48"/>
        <v>10328355.624884451</v>
      </c>
      <c r="BA159" s="42">
        <f t="shared" si="45"/>
        <v>33722.620900811053</v>
      </c>
      <c r="BB159" s="42">
        <f t="shared" si="46"/>
        <v>6150</v>
      </c>
      <c r="BC159" s="38">
        <f t="shared" si="49"/>
        <v>28.549999999999997</v>
      </c>
      <c r="BD159" s="38">
        <f t="shared" si="50"/>
        <v>43.587786259541978</v>
      </c>
      <c r="BE159" s="38">
        <f t="shared" si="51"/>
        <v>19.911999999999999</v>
      </c>
      <c r="BH159" s="34">
        <v>46.5</v>
      </c>
      <c r="BI159" s="43">
        <v>3.94</v>
      </c>
    </row>
    <row r="160" spans="14:61">
      <c r="N160" s="30" t="s">
        <v>358</v>
      </c>
      <c r="O160" s="40">
        <v>43.5</v>
      </c>
      <c r="P160" s="128">
        <v>30.7</v>
      </c>
      <c r="Q160" s="128">
        <v>0.65</v>
      </c>
      <c r="R160" s="128">
        <v>10.5</v>
      </c>
      <c r="S160" s="128">
        <v>1.18</v>
      </c>
      <c r="T160" s="40">
        <v>1.83</v>
      </c>
      <c r="U160" s="132">
        <v>1.125</v>
      </c>
      <c r="V160" s="40">
        <v>4.4400000000000004</v>
      </c>
      <c r="W160" s="84" t="s">
        <v>127</v>
      </c>
      <c r="X160" s="35">
        <f t="shared" si="35"/>
        <v>43.6</v>
      </c>
      <c r="Y160" s="36">
        <f t="shared" si="36"/>
        <v>2.7721253397136589</v>
      </c>
      <c r="Z160" s="34">
        <v>2.48</v>
      </c>
      <c r="AA160" s="40">
        <v>6680</v>
      </c>
      <c r="AB160" s="128">
        <v>436</v>
      </c>
      <c r="AC160" s="40">
        <v>12.4</v>
      </c>
      <c r="AD160" s="40">
        <v>227</v>
      </c>
      <c r="AE160" s="128">
        <v>43.3</v>
      </c>
      <c r="AF160" s="40">
        <v>2.2799999999999998</v>
      </c>
      <c r="AG160" s="41">
        <v>500</v>
      </c>
      <c r="AH160" s="40">
        <v>68</v>
      </c>
      <c r="AI160" s="41">
        <v>14.5</v>
      </c>
      <c r="AJ160" s="40">
        <v>49400</v>
      </c>
      <c r="AK160" s="40">
        <v>77.3</v>
      </c>
      <c r="AL160" s="40">
        <v>239</v>
      </c>
      <c r="AM160" s="40">
        <v>85.5</v>
      </c>
      <c r="AN160" s="40">
        <v>247</v>
      </c>
      <c r="AO160" s="146" t="s">
        <v>349</v>
      </c>
      <c r="AP160" s="39" t="s">
        <v>69</v>
      </c>
      <c r="AQ160" s="40">
        <f t="shared" si="37"/>
        <v>96.641021451555432</v>
      </c>
      <c r="AR160" s="41">
        <f t="shared" si="47"/>
        <v>29.52</v>
      </c>
      <c r="AS160" s="37">
        <f t="shared" si="38"/>
        <v>299.14059751680986</v>
      </c>
      <c r="AT160" s="42">
        <f t="shared" si="39"/>
        <v>25000</v>
      </c>
      <c r="AU160" s="31">
        <f t="shared" si="40"/>
        <v>15260</v>
      </c>
      <c r="AV160" s="31">
        <f t="shared" si="41"/>
        <v>48.098866127311481</v>
      </c>
      <c r="AW160" s="37">
        <f t="shared" si="42"/>
        <v>9057.8942927802582</v>
      </c>
      <c r="AX160" s="31">
        <f t="shared" si="43"/>
        <v>96.641021451555432</v>
      </c>
      <c r="AY160" s="42">
        <f t="shared" si="44"/>
        <v>28897.981241618942</v>
      </c>
      <c r="AZ160" s="42">
        <f t="shared" si="48"/>
        <v>3949241.9116521925</v>
      </c>
      <c r="BA160" s="42">
        <f t="shared" si="45"/>
        <v>27877.733471213287</v>
      </c>
      <c r="BB160" s="42">
        <f t="shared" si="46"/>
        <v>3400</v>
      </c>
      <c r="BC160" s="38">
        <f t="shared" si="49"/>
        <v>28.869999999999997</v>
      </c>
      <c r="BD160" s="38">
        <f t="shared" si="50"/>
        <v>44.41538461538461</v>
      </c>
      <c r="BE160" s="38">
        <f t="shared" si="51"/>
        <v>19.955000000000002</v>
      </c>
      <c r="BH160" s="34">
        <v>47.2</v>
      </c>
      <c r="BI160" s="43">
        <v>2.7</v>
      </c>
    </row>
    <row r="161" spans="14:61">
      <c r="N161" s="30" t="s">
        <v>359</v>
      </c>
      <c r="O161" s="40">
        <v>38.9</v>
      </c>
      <c r="P161" s="128">
        <v>30.3</v>
      </c>
      <c r="Q161" s="128">
        <v>0.61499999999999999</v>
      </c>
      <c r="R161" s="128">
        <v>10.5</v>
      </c>
      <c r="S161" s="128">
        <v>1</v>
      </c>
      <c r="T161" s="40">
        <v>1.65</v>
      </c>
      <c r="U161" s="132">
        <v>1.125</v>
      </c>
      <c r="V161" s="40">
        <v>5.27</v>
      </c>
      <c r="W161" s="84" t="s">
        <v>127</v>
      </c>
      <c r="X161" s="35">
        <f t="shared" si="35"/>
        <v>46.016260162601625</v>
      </c>
      <c r="Y161" s="36">
        <f t="shared" si="36"/>
        <v>2.7488753681230591</v>
      </c>
      <c r="Z161" s="34">
        <v>2.87</v>
      </c>
      <c r="AA161" s="40">
        <v>5770</v>
      </c>
      <c r="AB161" s="128">
        <v>380</v>
      </c>
      <c r="AC161" s="40">
        <v>12.2</v>
      </c>
      <c r="AD161" s="40">
        <v>196</v>
      </c>
      <c r="AE161" s="128">
        <v>37.200000000000003</v>
      </c>
      <c r="AF161" s="40">
        <v>2.25</v>
      </c>
      <c r="AG161" s="41">
        <v>437</v>
      </c>
      <c r="AH161" s="40">
        <v>58.4</v>
      </c>
      <c r="AI161" s="41">
        <v>9.7200000000000006</v>
      </c>
      <c r="AJ161" s="40">
        <v>42100</v>
      </c>
      <c r="AK161" s="40">
        <v>77.3</v>
      </c>
      <c r="AL161" s="40">
        <v>204</v>
      </c>
      <c r="AM161" s="40">
        <v>72.8</v>
      </c>
      <c r="AN161" s="40">
        <v>216</v>
      </c>
      <c r="AO161" s="146" t="s">
        <v>349</v>
      </c>
      <c r="AP161" s="39" t="s">
        <v>69</v>
      </c>
      <c r="AQ161" s="40">
        <f t="shared" si="37"/>
        <v>95.369429064034975</v>
      </c>
      <c r="AR161" s="41">
        <f t="shared" si="47"/>
        <v>29.3</v>
      </c>
      <c r="AS161" s="37">
        <f t="shared" si="38"/>
        <v>285.43046625180324</v>
      </c>
      <c r="AT161" s="42">
        <f t="shared" si="39"/>
        <v>21850</v>
      </c>
      <c r="AU161" s="31">
        <f t="shared" si="40"/>
        <v>13300</v>
      </c>
      <c r="AV161" s="31">
        <f t="shared" si="41"/>
        <v>44.985548466481021</v>
      </c>
      <c r="AW161" s="37">
        <f t="shared" si="42"/>
        <v>8903.9738498872121</v>
      </c>
      <c r="AX161" s="31">
        <f t="shared" si="43"/>
        <v>95.369429064034975</v>
      </c>
      <c r="AY161" s="42">
        <f t="shared" si="44"/>
        <v>25438.471517303664</v>
      </c>
      <c r="AZ161" s="42">
        <f t="shared" si="48"/>
        <v>3383510.0629571406</v>
      </c>
      <c r="BA161" s="42">
        <f t="shared" si="45"/>
        <v>24376.141804812483</v>
      </c>
      <c r="BB161" s="42">
        <f t="shared" si="46"/>
        <v>2920</v>
      </c>
      <c r="BC161" s="38">
        <f t="shared" si="49"/>
        <v>28.650000000000002</v>
      </c>
      <c r="BD161" s="38">
        <f t="shared" si="50"/>
        <v>46.585365853658544</v>
      </c>
      <c r="BE161" s="38">
        <f t="shared" si="51"/>
        <v>18.634499999999999</v>
      </c>
      <c r="BH161" s="34">
        <v>49.3</v>
      </c>
      <c r="BI161" s="43">
        <v>2.68</v>
      </c>
    </row>
    <row r="162" spans="14:61">
      <c r="N162" s="30" t="s">
        <v>360</v>
      </c>
      <c r="O162" s="40">
        <v>36.5</v>
      </c>
      <c r="P162" s="128">
        <v>30.2</v>
      </c>
      <c r="Q162" s="128">
        <v>0.58499999999999996</v>
      </c>
      <c r="R162" s="128">
        <v>10.5</v>
      </c>
      <c r="S162" s="128">
        <v>0.93</v>
      </c>
      <c r="T162" s="40">
        <v>1.58</v>
      </c>
      <c r="U162" s="132">
        <v>1.125</v>
      </c>
      <c r="V162" s="40">
        <v>5.65</v>
      </c>
      <c r="W162" s="84" t="s">
        <v>127</v>
      </c>
      <c r="X162" s="35">
        <f t="shared" si="35"/>
        <v>48.44444444444445</v>
      </c>
      <c r="Y162" s="36">
        <f t="shared" si="36"/>
        <v>2.73162748785305</v>
      </c>
      <c r="Z162" s="34">
        <v>3.09</v>
      </c>
      <c r="AA162" s="40">
        <v>5360</v>
      </c>
      <c r="AB162" s="128">
        <v>355</v>
      </c>
      <c r="AC162" s="40">
        <v>12.1</v>
      </c>
      <c r="AD162" s="40">
        <v>181</v>
      </c>
      <c r="AE162" s="128">
        <v>34.4</v>
      </c>
      <c r="AF162" s="40">
        <v>2.23</v>
      </c>
      <c r="AG162" s="41">
        <v>408</v>
      </c>
      <c r="AH162" s="40">
        <v>54</v>
      </c>
      <c r="AI162" s="41">
        <v>7.99</v>
      </c>
      <c r="AJ162" s="40">
        <v>38700</v>
      </c>
      <c r="AK162" s="40">
        <v>76.900000000000006</v>
      </c>
      <c r="AL162" s="40">
        <v>188</v>
      </c>
      <c r="AM162" s="40">
        <v>67.5</v>
      </c>
      <c r="AN162" s="40">
        <v>202</v>
      </c>
      <c r="AO162" s="146" t="s">
        <v>349</v>
      </c>
      <c r="AP162" s="39" t="s">
        <v>69</v>
      </c>
      <c r="AQ162" s="40">
        <f t="shared" si="37"/>
        <v>94.521700805687999</v>
      </c>
      <c r="AR162" s="41">
        <f t="shared" si="47"/>
        <v>29.27</v>
      </c>
      <c r="AS162" s="37">
        <f t="shared" si="38"/>
        <v>279.12627563635726</v>
      </c>
      <c r="AT162" s="42">
        <f t="shared" si="39"/>
        <v>20400</v>
      </c>
      <c r="AU162" s="31">
        <f t="shared" si="40"/>
        <v>12425</v>
      </c>
      <c r="AV162" s="31">
        <f t="shared" si="41"/>
        <v>43.200446182415376</v>
      </c>
      <c r="AW162" s="37">
        <f t="shared" si="42"/>
        <v>8791.5486481958669</v>
      </c>
      <c r="AX162" s="31">
        <f t="shared" si="43"/>
        <v>94.521700805687999</v>
      </c>
      <c r="AY162" s="42">
        <f t="shared" si="44"/>
        <v>23809.452688280813</v>
      </c>
      <c r="AZ162" s="42">
        <f t="shared" si="48"/>
        <v>3120999.7701095329</v>
      </c>
      <c r="BA162" s="42">
        <f t="shared" si="45"/>
        <v>22756.255075249072</v>
      </c>
      <c r="BB162" s="42">
        <f t="shared" si="46"/>
        <v>2700</v>
      </c>
      <c r="BC162" s="38">
        <f t="shared" si="49"/>
        <v>28.619999999999997</v>
      </c>
      <c r="BD162" s="38">
        <f t="shared" si="50"/>
        <v>48.92307692307692</v>
      </c>
      <c r="BE162" s="38">
        <f t="shared" si="51"/>
        <v>17.666999999999998</v>
      </c>
      <c r="BH162" s="34">
        <v>51.6</v>
      </c>
      <c r="BI162" s="43">
        <v>2.66</v>
      </c>
    </row>
    <row r="163" spans="14:61">
      <c r="N163" s="30" t="s">
        <v>361</v>
      </c>
      <c r="O163" s="40">
        <v>34.200000000000003</v>
      </c>
      <c r="P163" s="128">
        <v>30</v>
      </c>
      <c r="Q163" s="128">
        <v>0.56499999999999995</v>
      </c>
      <c r="R163" s="128">
        <v>10.5</v>
      </c>
      <c r="S163" s="128">
        <v>0.85</v>
      </c>
      <c r="T163" s="40">
        <v>1.5</v>
      </c>
      <c r="U163" s="132">
        <v>1.125</v>
      </c>
      <c r="V163" s="40">
        <v>6.17</v>
      </c>
      <c r="W163" s="84" t="s">
        <v>127</v>
      </c>
      <c r="X163" s="35">
        <f t="shared" si="35"/>
        <v>50.088495575221245</v>
      </c>
      <c r="Y163" s="36">
        <f t="shared" si="36"/>
        <v>2.6954312352707031</v>
      </c>
      <c r="Z163" s="34">
        <v>3.36</v>
      </c>
      <c r="AA163" s="40">
        <v>4930</v>
      </c>
      <c r="AB163" s="128">
        <v>329</v>
      </c>
      <c r="AC163" s="40">
        <v>12</v>
      </c>
      <c r="AD163" s="40">
        <v>164</v>
      </c>
      <c r="AE163" s="128">
        <v>31.3</v>
      </c>
      <c r="AF163" s="40">
        <v>2.19</v>
      </c>
      <c r="AG163" s="41">
        <v>378</v>
      </c>
      <c r="AH163" s="40">
        <v>49.2</v>
      </c>
      <c r="AI163" s="41">
        <v>6.43</v>
      </c>
      <c r="AJ163" s="40">
        <v>34900</v>
      </c>
      <c r="AK163" s="40">
        <v>76.5</v>
      </c>
      <c r="AL163" s="40">
        <v>171</v>
      </c>
      <c r="AM163" s="40">
        <v>61.5</v>
      </c>
      <c r="AN163" s="40">
        <v>187</v>
      </c>
      <c r="AO163" s="146" t="s">
        <v>349</v>
      </c>
      <c r="AP163" s="39" t="s">
        <v>69</v>
      </c>
      <c r="AQ163" s="40">
        <f t="shared" si="37"/>
        <v>92.826244288994047</v>
      </c>
      <c r="AR163" s="41">
        <f t="shared" si="47"/>
        <v>29.15</v>
      </c>
      <c r="AS163" s="37">
        <f t="shared" si="38"/>
        <v>271.24721914148063</v>
      </c>
      <c r="AT163" s="42">
        <f t="shared" si="39"/>
        <v>18900</v>
      </c>
      <c r="AU163" s="31">
        <f t="shared" si="40"/>
        <v>11515</v>
      </c>
      <c r="AV163" s="31">
        <f t="shared" si="41"/>
        <v>41.390873500751297</v>
      </c>
      <c r="AW163" s="37">
        <f t="shared" si="42"/>
        <v>8559.2289609947402</v>
      </c>
      <c r="AX163" s="31">
        <f t="shared" si="43"/>
        <v>92.826244288994047</v>
      </c>
      <c r="AY163" s="42">
        <f t="shared" si="44"/>
        <v>22096.461708303868</v>
      </c>
      <c r="AZ163" s="42">
        <f t="shared" si="48"/>
        <v>2815986.3281672695</v>
      </c>
      <c r="BA163" s="42">
        <f t="shared" si="45"/>
        <v>21081.936517957918</v>
      </c>
      <c r="BB163" s="42">
        <f t="shared" si="46"/>
        <v>2460</v>
      </c>
      <c r="BC163" s="38">
        <f t="shared" si="49"/>
        <v>28.5</v>
      </c>
      <c r="BD163" s="38">
        <f t="shared" si="50"/>
        <v>50.442477876106203</v>
      </c>
      <c r="BE163" s="38">
        <f t="shared" si="51"/>
        <v>16.95</v>
      </c>
      <c r="BH163" s="34">
        <v>53.1</v>
      </c>
      <c r="BI163" s="43">
        <v>2.64</v>
      </c>
    </row>
    <row r="164" spans="14:61">
      <c r="N164" s="30" t="s">
        <v>362</v>
      </c>
      <c r="O164" s="40">
        <v>31.7</v>
      </c>
      <c r="P164" s="128">
        <v>29.8</v>
      </c>
      <c r="Q164" s="128">
        <v>0.54500000000000004</v>
      </c>
      <c r="R164" s="128">
        <v>10.5</v>
      </c>
      <c r="S164" s="128">
        <v>0.76</v>
      </c>
      <c r="T164" s="40">
        <v>1.41</v>
      </c>
      <c r="U164" s="129">
        <v>1.125</v>
      </c>
      <c r="V164" s="40">
        <v>6.89</v>
      </c>
      <c r="W164" s="84" t="s">
        <v>127</v>
      </c>
      <c r="X164" s="35">
        <f t="shared" si="35"/>
        <v>51.88990825688073</v>
      </c>
      <c r="Y164" s="36">
        <f t="shared" si="36"/>
        <v>2.6627116713636219</v>
      </c>
      <c r="Z164" s="34">
        <v>3.75</v>
      </c>
      <c r="AA164" s="40">
        <v>4470</v>
      </c>
      <c r="AB164" s="128">
        <v>299</v>
      </c>
      <c r="AC164" s="40">
        <v>11.9</v>
      </c>
      <c r="AD164" s="40">
        <v>146</v>
      </c>
      <c r="AE164" s="128">
        <v>27.9</v>
      </c>
      <c r="AF164" s="40">
        <v>2.15</v>
      </c>
      <c r="AG164" s="41">
        <v>346</v>
      </c>
      <c r="AH164" s="40">
        <v>43.9</v>
      </c>
      <c r="AI164" s="41">
        <v>4.99</v>
      </c>
      <c r="AJ164" s="40">
        <v>30800</v>
      </c>
      <c r="AK164" s="40">
        <v>76.099999999999994</v>
      </c>
      <c r="AL164" s="40">
        <v>152</v>
      </c>
      <c r="AM164" s="40">
        <v>54.8</v>
      </c>
      <c r="AN164" s="40">
        <v>170</v>
      </c>
      <c r="AO164" s="146" t="s">
        <v>349</v>
      </c>
      <c r="AP164" s="39" t="s">
        <v>69</v>
      </c>
      <c r="AQ164" s="40">
        <f t="shared" si="37"/>
        <v>91.130787772300096</v>
      </c>
      <c r="AR164" s="41">
        <f t="shared" si="47"/>
        <v>29.04</v>
      </c>
      <c r="AS164" s="37">
        <f t="shared" si="38"/>
        <v>263.97347275985726</v>
      </c>
      <c r="AT164" s="42">
        <f t="shared" si="39"/>
        <v>17300</v>
      </c>
      <c r="AU164" s="31">
        <f t="shared" si="40"/>
        <v>10465</v>
      </c>
      <c r="AV164" s="31">
        <f t="shared" si="41"/>
        <v>39.544629849345647</v>
      </c>
      <c r="AW164" s="37">
        <f t="shared" si="42"/>
        <v>8351.8024776180191</v>
      </c>
      <c r="AX164" s="31">
        <f t="shared" si="43"/>
        <v>91.130787772300096</v>
      </c>
      <c r="AY164" s="42">
        <f t="shared" si="44"/>
        <v>20286.837044685089</v>
      </c>
      <c r="AZ164" s="42">
        <f t="shared" si="48"/>
        <v>2497188.9408077877</v>
      </c>
      <c r="BA164" s="42">
        <f t="shared" si="45"/>
        <v>19319.436167940741</v>
      </c>
      <c r="BB164" s="42">
        <f t="shared" si="46"/>
        <v>2195</v>
      </c>
      <c r="BC164" s="38">
        <f t="shared" si="49"/>
        <v>28.39</v>
      </c>
      <c r="BD164" s="38">
        <f t="shared" si="50"/>
        <v>52.091743119266049</v>
      </c>
      <c r="BE164" s="38">
        <f t="shared" si="51"/>
        <v>16.241000000000003</v>
      </c>
      <c r="BH164" s="34">
        <v>54.7</v>
      </c>
      <c r="BI164" s="43">
        <v>2.61</v>
      </c>
    </row>
    <row r="165" spans="14:61">
      <c r="N165" s="30" t="s">
        <v>363</v>
      </c>
      <c r="O165" s="40">
        <v>29.1</v>
      </c>
      <c r="P165" s="128">
        <v>29.7</v>
      </c>
      <c r="Q165" s="128">
        <v>0.52</v>
      </c>
      <c r="R165" s="128">
        <v>10.5</v>
      </c>
      <c r="S165" s="128">
        <v>0.67</v>
      </c>
      <c r="T165" s="40">
        <v>1.32</v>
      </c>
      <c r="U165" s="132">
        <v>1.0625</v>
      </c>
      <c r="V165" s="40">
        <v>7.8</v>
      </c>
      <c r="W165" s="84" t="s">
        <v>127</v>
      </c>
      <c r="X165" s="35">
        <f t="shared" si="35"/>
        <v>54.538461538461533</v>
      </c>
      <c r="Y165" s="36">
        <f t="shared" si="36"/>
        <v>2.628072639646116</v>
      </c>
      <c r="Z165" s="34">
        <v>4.2300000000000004</v>
      </c>
      <c r="AA165" s="40">
        <v>3990</v>
      </c>
      <c r="AB165" s="128">
        <v>269</v>
      </c>
      <c r="AC165" s="40">
        <v>11.7</v>
      </c>
      <c r="AD165" s="40">
        <v>128</v>
      </c>
      <c r="AE165" s="128">
        <v>24.5</v>
      </c>
      <c r="AF165" s="40">
        <v>2.1</v>
      </c>
      <c r="AG165" s="41">
        <v>312</v>
      </c>
      <c r="AH165" s="40">
        <v>38.6</v>
      </c>
      <c r="AI165" s="41">
        <v>3.77</v>
      </c>
      <c r="AJ165" s="40">
        <v>26900</v>
      </c>
      <c r="AK165" s="40">
        <v>75.7</v>
      </c>
      <c r="AL165" s="40">
        <v>133</v>
      </c>
      <c r="AM165" s="40">
        <v>48.2</v>
      </c>
      <c r="AN165" s="40">
        <v>154</v>
      </c>
      <c r="AO165" s="146" t="s">
        <v>349</v>
      </c>
      <c r="AP165" s="39" t="s">
        <v>69</v>
      </c>
      <c r="AQ165" s="40">
        <f t="shared" si="37"/>
        <v>89.011467126432649</v>
      </c>
      <c r="AR165" s="41">
        <f t="shared" si="47"/>
        <v>29.029999999999998</v>
      </c>
      <c r="AS165" s="37">
        <f t="shared" si="38"/>
        <v>256.80377705732337</v>
      </c>
      <c r="AT165" s="42">
        <f t="shared" si="39"/>
        <v>15600</v>
      </c>
      <c r="AU165" s="31">
        <f t="shared" si="40"/>
        <v>9415</v>
      </c>
      <c r="AV165" s="31">
        <f t="shared" si="41"/>
        <v>36.86104567335321</v>
      </c>
      <c r="AW165" s="37">
        <f t="shared" si="42"/>
        <v>8135.0595499696483</v>
      </c>
      <c r="AX165" s="31">
        <f t="shared" si="43"/>
        <v>89.011467126432649</v>
      </c>
      <c r="AY165" s="42">
        <f t="shared" si="44"/>
        <v>18306.023442695303</v>
      </c>
      <c r="AZ165" s="42">
        <f t="shared" si="48"/>
        <v>2188331.0189418355</v>
      </c>
      <c r="BA165" s="42">
        <f t="shared" si="45"/>
        <v>17427.390299738621</v>
      </c>
      <c r="BB165" s="42">
        <f t="shared" si="46"/>
        <v>1930</v>
      </c>
      <c r="BC165" s="38">
        <f t="shared" si="49"/>
        <v>28.38</v>
      </c>
      <c r="BD165" s="38">
        <f t="shared" si="50"/>
        <v>54.576923076923073</v>
      </c>
      <c r="BE165" s="38">
        <f t="shared" si="51"/>
        <v>15.444000000000001</v>
      </c>
      <c r="BH165" s="34">
        <v>57</v>
      </c>
      <c r="BI165" s="43">
        <v>2.57</v>
      </c>
    </row>
    <row r="166" spans="14:61">
      <c r="N166" s="30" t="s">
        <v>364</v>
      </c>
      <c r="O166" s="40">
        <v>26.4</v>
      </c>
      <c r="P166" s="128">
        <v>29.5</v>
      </c>
      <c r="Q166" s="128">
        <v>0.47</v>
      </c>
      <c r="R166" s="128">
        <v>10.4</v>
      </c>
      <c r="S166" s="128">
        <v>0.61</v>
      </c>
      <c r="T166" s="40">
        <v>1.26</v>
      </c>
      <c r="U166" s="132">
        <v>1.0625</v>
      </c>
      <c r="V166" s="40">
        <v>8.52</v>
      </c>
      <c r="W166" s="34">
        <v>58.1</v>
      </c>
      <c r="X166" s="35">
        <f t="shared" si="35"/>
        <v>60.170212765957451</v>
      </c>
      <c r="Y166" s="36">
        <f t="shared" si="36"/>
        <v>2.6039020954039303</v>
      </c>
      <c r="Z166" s="34">
        <v>4.6500000000000004</v>
      </c>
      <c r="AA166" s="40">
        <v>3610</v>
      </c>
      <c r="AB166" s="128">
        <v>245</v>
      </c>
      <c r="AC166" s="40">
        <v>11.7</v>
      </c>
      <c r="AD166" s="40">
        <v>115</v>
      </c>
      <c r="AE166" s="128">
        <v>22.1</v>
      </c>
      <c r="AF166" s="40">
        <v>2.09</v>
      </c>
      <c r="AG166" s="41">
        <v>283</v>
      </c>
      <c r="AH166" s="40">
        <v>34.700000000000003</v>
      </c>
      <c r="AI166" s="41">
        <v>2.84</v>
      </c>
      <c r="AJ166" s="40">
        <v>24000</v>
      </c>
      <c r="AK166" s="40">
        <v>75.2</v>
      </c>
      <c r="AL166" s="40">
        <v>119</v>
      </c>
      <c r="AM166" s="40">
        <v>43.8</v>
      </c>
      <c r="AN166" s="40">
        <v>139</v>
      </c>
      <c r="AO166" s="146" t="s">
        <v>349</v>
      </c>
      <c r="AP166" s="39" t="s">
        <v>69</v>
      </c>
      <c r="AQ166" s="40">
        <f t="shared" si="37"/>
        <v>88.587602997259154</v>
      </c>
      <c r="AR166" s="41">
        <f t="shared" si="47"/>
        <v>28.89</v>
      </c>
      <c r="AS166" s="37">
        <f t="shared" si="38"/>
        <v>251.18977042183752</v>
      </c>
      <c r="AT166" s="42">
        <f t="shared" si="39"/>
        <v>14150</v>
      </c>
      <c r="AU166" s="31">
        <f t="shared" si="40"/>
        <v>8575</v>
      </c>
      <c r="AV166" s="31">
        <f t="shared" si="41"/>
        <v>34.286135838785277</v>
      </c>
      <c r="AW166" s="37">
        <f t="shared" si="42"/>
        <v>7985.2988001941021</v>
      </c>
      <c r="AX166" s="31">
        <f t="shared" si="43"/>
        <v>88.587602997259154</v>
      </c>
      <c r="AY166" s="42">
        <f t="shared" si="44"/>
        <v>16652.46287091136</v>
      </c>
      <c r="AZ166" s="42">
        <f t="shared" si="48"/>
        <v>1956398.206047555</v>
      </c>
      <c r="BA166" s="42">
        <f t="shared" si="45"/>
        <v>15797.16263881048</v>
      </c>
      <c r="BB166" s="42">
        <f t="shared" si="46"/>
        <v>1735.0000000000002</v>
      </c>
      <c r="BC166" s="38">
        <f t="shared" si="49"/>
        <v>28.24</v>
      </c>
      <c r="BD166" s="38">
        <f t="shared" si="50"/>
        <v>60.085106382978722</v>
      </c>
      <c r="BE166" s="38">
        <f t="shared" si="51"/>
        <v>13.864999999999998</v>
      </c>
      <c r="BH166" s="34">
        <v>62.8</v>
      </c>
      <c r="BI166" s="43">
        <v>2.56</v>
      </c>
    </row>
    <row r="167" spans="14:61">
      <c r="N167" s="30" t="s">
        <v>365</v>
      </c>
      <c r="O167" s="40">
        <v>159</v>
      </c>
      <c r="P167" s="128">
        <v>32.5</v>
      </c>
      <c r="Q167" s="128">
        <v>1.97</v>
      </c>
      <c r="R167" s="128">
        <v>15.3</v>
      </c>
      <c r="S167" s="128">
        <v>3.54</v>
      </c>
      <c r="T167" s="40">
        <v>4.33</v>
      </c>
      <c r="U167" s="132">
        <v>1.8125</v>
      </c>
      <c r="V167" s="40">
        <v>2.15</v>
      </c>
      <c r="W167" s="84" t="s">
        <v>127</v>
      </c>
      <c r="X167" s="35">
        <f t="shared" si="35"/>
        <v>12.903553299492387</v>
      </c>
      <c r="Y167" s="36">
        <f t="shared" si="36"/>
        <v>4.411392315993341</v>
      </c>
      <c r="Z167" s="34">
        <v>0.6</v>
      </c>
      <c r="AA167" s="40">
        <v>25600</v>
      </c>
      <c r="AB167" s="128">
        <v>1570</v>
      </c>
      <c r="AC167" s="40">
        <v>12.7</v>
      </c>
      <c r="AD167" s="40">
        <v>2110</v>
      </c>
      <c r="AE167" s="128">
        <v>277</v>
      </c>
      <c r="AF167" s="40">
        <v>3.65</v>
      </c>
      <c r="AG167" s="41">
        <v>1890</v>
      </c>
      <c r="AH167" s="40">
        <v>437</v>
      </c>
      <c r="AI167" s="41">
        <v>496</v>
      </c>
      <c r="AJ167" s="40">
        <v>443000</v>
      </c>
      <c r="AK167" s="40">
        <v>111</v>
      </c>
      <c r="AL167" s="40">
        <v>1490</v>
      </c>
      <c r="AM167" s="40">
        <v>341</v>
      </c>
      <c r="AN167" s="40">
        <v>942</v>
      </c>
      <c r="AO167" s="146" t="s">
        <v>366</v>
      </c>
      <c r="AP167" s="39" t="s">
        <v>69</v>
      </c>
      <c r="AQ167" s="40">
        <f t="shared" si="37"/>
        <v>154.71040714832341</v>
      </c>
      <c r="AR167" s="41">
        <f t="shared" si="47"/>
        <v>28.96</v>
      </c>
      <c r="AS167" s="37">
        <f t="shared" si="38"/>
        <v>1063.4214674896248</v>
      </c>
      <c r="AT167" s="42">
        <f t="shared" si="39"/>
        <v>94500</v>
      </c>
      <c r="AU167" s="31">
        <f t="shared" si="40"/>
        <v>54950</v>
      </c>
      <c r="AV167" s="31">
        <f t="shared" si="41"/>
        <v>43.523185450329478</v>
      </c>
      <c r="AW167" s="37">
        <f t="shared" si="42"/>
        <v>23027.55719076157</v>
      </c>
      <c r="AX167" s="31">
        <f t="shared" si="43"/>
        <v>154.71040714832341</v>
      </c>
      <c r="AY167" s="42">
        <f t="shared" si="44"/>
        <v>100554.52804838732</v>
      </c>
      <c r="AZ167" s="42">
        <f t="shared" si="48"/>
        <v>36153264.789495662</v>
      </c>
      <c r="BA167" s="42">
        <f t="shared" si="45"/>
        <v>106185.25244214429</v>
      </c>
      <c r="BB167" s="42">
        <f t="shared" si="46"/>
        <v>21850</v>
      </c>
      <c r="BC167" s="38">
        <f t="shared" si="49"/>
        <v>28.17</v>
      </c>
      <c r="BD167" s="38">
        <f t="shared" si="50"/>
        <v>14.299492385786802</v>
      </c>
      <c r="BE167" s="38">
        <f t="shared" si="51"/>
        <v>64.025000000000006</v>
      </c>
      <c r="BH167" s="34">
        <v>16.5</v>
      </c>
      <c r="BI167" s="43">
        <v>4.0999999999999996</v>
      </c>
    </row>
    <row r="168" spans="14:61">
      <c r="N168" s="123" t="s">
        <v>367</v>
      </c>
      <c r="O168" s="80">
        <v>145</v>
      </c>
      <c r="P168" s="124">
        <v>31.97</v>
      </c>
      <c r="Q168" s="124">
        <v>1.81</v>
      </c>
      <c r="R168" s="133">
        <v>15.095000000000001</v>
      </c>
      <c r="S168" s="124">
        <v>3.27</v>
      </c>
      <c r="T168" s="80">
        <v>4</v>
      </c>
      <c r="U168" s="80">
        <v>1.5625</v>
      </c>
      <c r="V168" s="80">
        <v>2.2999999999999998</v>
      </c>
      <c r="W168" s="125" t="s">
        <v>127</v>
      </c>
      <c r="X168" s="35">
        <f t="shared" si="35"/>
        <v>14.049723756906078</v>
      </c>
      <c r="Y168" s="36">
        <f t="shared" si="36"/>
        <v>4.3398588686730353</v>
      </c>
      <c r="Z168" s="80">
        <v>0.65</v>
      </c>
      <c r="AA168" s="80">
        <v>22900</v>
      </c>
      <c r="AB168" s="124">
        <v>1440</v>
      </c>
      <c r="AC168" s="80">
        <v>12.6</v>
      </c>
      <c r="AD168" s="80">
        <v>1890</v>
      </c>
      <c r="AE168" s="124">
        <v>250</v>
      </c>
      <c r="AF168" s="80">
        <v>3.61</v>
      </c>
      <c r="AG168" s="81">
        <v>1710</v>
      </c>
      <c r="AH168" s="80">
        <v>394</v>
      </c>
      <c r="AI168" s="81">
        <v>391</v>
      </c>
      <c r="AJ168" s="80">
        <v>386000</v>
      </c>
      <c r="AK168" s="80">
        <v>108</v>
      </c>
      <c r="AL168" s="80">
        <v>1340</v>
      </c>
      <c r="AM168" s="80">
        <v>313</v>
      </c>
      <c r="AN168" s="80">
        <v>856</v>
      </c>
      <c r="AO168" s="125" t="s">
        <v>368</v>
      </c>
      <c r="AP168" s="126" t="s">
        <v>69</v>
      </c>
      <c r="AQ168" s="40">
        <f t="shared" si="37"/>
        <v>153.01495063162946</v>
      </c>
      <c r="AR168" s="41">
        <f t="shared" si="47"/>
        <v>28.7</v>
      </c>
      <c r="AS168" s="37">
        <f t="shared" si="38"/>
        <v>977.37448125450339</v>
      </c>
      <c r="AT168" s="42">
        <f t="shared" si="39"/>
        <v>85500</v>
      </c>
      <c r="AU168" s="31">
        <f t="shared" si="40"/>
        <v>50400</v>
      </c>
      <c r="AV168" s="31">
        <f t="shared" si="41"/>
        <v>42.578509371364888</v>
      </c>
      <c r="AW168" s="37">
        <f t="shared" si="42"/>
        <v>22274.604738071586</v>
      </c>
      <c r="AX168" s="31">
        <f t="shared" si="43"/>
        <v>153.01495063162946</v>
      </c>
      <c r="AY168" s="42">
        <f t="shared" si="44"/>
        <v>91350.923763234474</v>
      </c>
      <c r="AZ168" s="42">
        <f t="shared" si="48"/>
        <v>32075430.822823085</v>
      </c>
      <c r="BA168" s="42">
        <f t="shared" si="45"/>
        <v>95870.476882914401</v>
      </c>
      <c r="BB168" s="42">
        <f t="shared" si="46"/>
        <v>19700</v>
      </c>
      <c r="BC168" s="38">
        <f t="shared" si="49"/>
        <v>27.97</v>
      </c>
      <c r="BD168" s="38">
        <f t="shared" si="50"/>
        <v>15.453038674033149</v>
      </c>
      <c r="BE168" s="38">
        <f t="shared" si="51"/>
        <v>57.865699999999997</v>
      </c>
      <c r="BH168" s="80">
        <v>17.7</v>
      </c>
      <c r="BI168" s="81">
        <v>4.05</v>
      </c>
    </row>
    <row r="169" spans="14:61">
      <c r="N169" s="123" t="s">
        <v>369</v>
      </c>
      <c r="O169" s="80">
        <v>131</v>
      </c>
      <c r="P169" s="124">
        <v>31.42</v>
      </c>
      <c r="Q169" s="124">
        <v>1.65</v>
      </c>
      <c r="R169" s="124">
        <v>14.94</v>
      </c>
      <c r="S169" s="124">
        <v>2.99</v>
      </c>
      <c r="T169" s="80">
        <v>3.6875</v>
      </c>
      <c r="U169" s="80">
        <v>1.5</v>
      </c>
      <c r="V169" s="80">
        <v>2.5</v>
      </c>
      <c r="W169" s="125" t="s">
        <v>127</v>
      </c>
      <c r="X169" s="35">
        <f t="shared" si="35"/>
        <v>15.41818181818182</v>
      </c>
      <c r="Y169" s="36">
        <f t="shared" si="36"/>
        <v>4.2732666301446356</v>
      </c>
      <c r="Z169" s="80">
        <v>0.7</v>
      </c>
      <c r="AA169" s="80">
        <v>20400</v>
      </c>
      <c r="AB169" s="124">
        <v>1300</v>
      </c>
      <c r="AC169" s="80">
        <v>12.5</v>
      </c>
      <c r="AD169" s="80">
        <v>1670</v>
      </c>
      <c r="AE169" s="124">
        <v>224</v>
      </c>
      <c r="AF169" s="80">
        <v>3.57</v>
      </c>
      <c r="AG169" s="81">
        <v>1530</v>
      </c>
      <c r="AH169" s="80">
        <v>351</v>
      </c>
      <c r="AI169" s="81">
        <v>297</v>
      </c>
      <c r="AJ169" s="80">
        <v>336000</v>
      </c>
      <c r="AK169" s="80">
        <v>106</v>
      </c>
      <c r="AL169" s="80">
        <v>1190</v>
      </c>
      <c r="AM169" s="80">
        <v>283</v>
      </c>
      <c r="AN169" s="80">
        <v>766</v>
      </c>
      <c r="AO169" s="125" t="s">
        <v>368</v>
      </c>
      <c r="AP169" s="126" t="s">
        <v>69</v>
      </c>
      <c r="AQ169" s="40">
        <f t="shared" si="37"/>
        <v>151.31949411493551</v>
      </c>
      <c r="AR169" s="41">
        <f t="shared" si="47"/>
        <v>28.43</v>
      </c>
      <c r="AS169" s="37">
        <f t="shared" si="38"/>
        <v>891.24788387978185</v>
      </c>
      <c r="AT169" s="42">
        <f t="shared" si="39"/>
        <v>76500</v>
      </c>
      <c r="AU169" s="31">
        <f t="shared" si="40"/>
        <v>45500</v>
      </c>
      <c r="AV169" s="31">
        <f t="shared" si="41"/>
        <v>41.895946187241158</v>
      </c>
      <c r="AW169" s="37">
        <f t="shared" si="42"/>
        <v>21583.627436238996</v>
      </c>
      <c r="AX169" s="31">
        <f t="shared" si="43"/>
        <v>151.31949411493551</v>
      </c>
      <c r="AY169" s="42">
        <f t="shared" si="44"/>
        <v>82186.096621998935</v>
      </c>
      <c r="AZ169" s="42">
        <f t="shared" si="48"/>
        <v>28058715.667110696</v>
      </c>
      <c r="BA169" s="42">
        <f t="shared" si="45"/>
        <v>85659.110637331818</v>
      </c>
      <c r="BB169" s="42">
        <f t="shared" si="46"/>
        <v>17550</v>
      </c>
      <c r="BC169" s="38">
        <f t="shared" si="49"/>
        <v>27.732500000000002</v>
      </c>
      <c r="BD169" s="38">
        <f t="shared" si="50"/>
        <v>16.807575757575759</v>
      </c>
      <c r="BE169" s="38">
        <f t="shared" si="51"/>
        <v>51.843000000000004</v>
      </c>
      <c r="BH169" s="80">
        <v>19</v>
      </c>
      <c r="BI169" s="81">
        <v>4.01</v>
      </c>
    </row>
    <row r="170" spans="14:61">
      <c r="N170" s="123" t="s">
        <v>370</v>
      </c>
      <c r="O170" s="80">
        <v>119</v>
      </c>
      <c r="P170" s="124">
        <v>30.87</v>
      </c>
      <c r="Q170" s="124">
        <v>1.52</v>
      </c>
      <c r="R170" s="124">
        <v>14.8</v>
      </c>
      <c r="S170" s="124">
        <v>2.72</v>
      </c>
      <c r="T170" s="80">
        <v>3.4375</v>
      </c>
      <c r="U170" s="80">
        <v>1.4375</v>
      </c>
      <c r="V170" s="80">
        <v>2.7</v>
      </c>
      <c r="W170" s="125" t="s">
        <v>127</v>
      </c>
      <c r="X170" s="35">
        <f t="shared" si="35"/>
        <v>16.730263157894736</v>
      </c>
      <c r="Y170" s="36">
        <f t="shared" si="36"/>
        <v>4.2195110503793565</v>
      </c>
      <c r="Z170" s="80">
        <v>0.77</v>
      </c>
      <c r="AA170" s="80">
        <v>18100</v>
      </c>
      <c r="AB170" s="124">
        <v>1170</v>
      </c>
      <c r="AC170" s="80">
        <v>12.3</v>
      </c>
      <c r="AD170" s="80">
        <v>1480</v>
      </c>
      <c r="AE170" s="124">
        <v>200</v>
      </c>
      <c r="AF170" s="80">
        <v>3.52</v>
      </c>
      <c r="AG170" s="81">
        <v>1380</v>
      </c>
      <c r="AH170" s="80">
        <v>313</v>
      </c>
      <c r="AI170" s="81">
        <v>225</v>
      </c>
      <c r="AJ170" s="80">
        <v>291000</v>
      </c>
      <c r="AK170" s="80">
        <v>104</v>
      </c>
      <c r="AL170" s="80">
        <v>1050</v>
      </c>
      <c r="AM170" s="80">
        <v>255</v>
      </c>
      <c r="AN170" s="80">
        <v>688</v>
      </c>
      <c r="AO170" s="125" t="s">
        <v>368</v>
      </c>
      <c r="AP170" s="126" t="s">
        <v>69</v>
      </c>
      <c r="AQ170" s="40">
        <f t="shared" si="37"/>
        <v>149.20017346906806</v>
      </c>
      <c r="AR170" s="41">
        <f t="shared" si="47"/>
        <v>28.150000000000002</v>
      </c>
      <c r="AS170" s="37">
        <f t="shared" si="38"/>
        <v>816.66082265315083</v>
      </c>
      <c r="AT170" s="42">
        <f t="shared" si="39"/>
        <v>69000</v>
      </c>
      <c r="AU170" s="31">
        <f t="shared" si="40"/>
        <v>40950</v>
      </c>
      <c r="AV170" s="31">
        <f t="shared" si="41"/>
        <v>42.02494938733674</v>
      </c>
      <c r="AW170" s="37">
        <f t="shared" si="42"/>
        <v>21032.853245275568</v>
      </c>
      <c r="AX170" s="31">
        <f t="shared" si="43"/>
        <v>149.20017346906806</v>
      </c>
      <c r="AY170" s="42">
        <f t="shared" si="44"/>
        <v>74614.540528176993</v>
      </c>
      <c r="AZ170" s="42">
        <f t="shared" si="48"/>
        <v>24608438.296972416</v>
      </c>
      <c r="BA170" s="42">
        <f t="shared" si="45"/>
        <v>77287.517850876044</v>
      </c>
      <c r="BB170" s="42">
        <f t="shared" si="46"/>
        <v>15650</v>
      </c>
      <c r="BC170" s="38">
        <f t="shared" si="49"/>
        <v>27.432500000000001</v>
      </c>
      <c r="BD170" s="38">
        <f t="shared" si="50"/>
        <v>18.047697368421051</v>
      </c>
      <c r="BE170" s="38">
        <f t="shared" si="51"/>
        <v>46.922400000000003</v>
      </c>
      <c r="BH170" s="80">
        <v>20.3</v>
      </c>
      <c r="BI170" s="81">
        <v>3.96</v>
      </c>
    </row>
    <row r="171" spans="14:61">
      <c r="N171" s="30" t="s">
        <v>371</v>
      </c>
      <c r="O171" s="40">
        <v>108</v>
      </c>
      <c r="P171" s="128">
        <v>30.4</v>
      </c>
      <c r="Q171" s="128">
        <v>1.38</v>
      </c>
      <c r="R171" s="128">
        <v>14.7</v>
      </c>
      <c r="S171" s="128">
        <v>2.48</v>
      </c>
      <c r="T171" s="40">
        <v>3.27</v>
      </c>
      <c r="U171" s="132">
        <v>1.5</v>
      </c>
      <c r="V171" s="40">
        <v>2.96</v>
      </c>
      <c r="W171" s="84" t="s">
        <v>127</v>
      </c>
      <c r="X171" s="35">
        <f t="shared" si="35"/>
        <v>18.434782608695652</v>
      </c>
      <c r="Y171" s="36">
        <f t="shared" si="36"/>
        <v>4.1536072070176155</v>
      </c>
      <c r="Z171" s="34">
        <v>0.84</v>
      </c>
      <c r="AA171" s="40">
        <v>16200</v>
      </c>
      <c r="AB171" s="128">
        <v>1060</v>
      </c>
      <c r="AC171" s="40">
        <v>12.2</v>
      </c>
      <c r="AD171" s="40">
        <v>1310</v>
      </c>
      <c r="AE171" s="128">
        <v>179</v>
      </c>
      <c r="AF171" s="40">
        <v>3.48</v>
      </c>
      <c r="AG171" s="41">
        <v>1240</v>
      </c>
      <c r="AH171" s="40">
        <v>279</v>
      </c>
      <c r="AI171" s="41">
        <v>170</v>
      </c>
      <c r="AJ171" s="40">
        <v>255000</v>
      </c>
      <c r="AK171" s="40">
        <v>102</v>
      </c>
      <c r="AL171" s="40">
        <v>930</v>
      </c>
      <c r="AM171" s="40">
        <v>230</v>
      </c>
      <c r="AN171" s="40">
        <v>619</v>
      </c>
      <c r="AO171" s="146" t="s">
        <v>366</v>
      </c>
      <c r="AP171" s="39" t="s">
        <v>69</v>
      </c>
      <c r="AQ171" s="40">
        <f t="shared" si="37"/>
        <v>147.50471695237411</v>
      </c>
      <c r="AR171" s="41">
        <f t="shared" si="47"/>
        <v>27.919999999999998</v>
      </c>
      <c r="AS171" s="37">
        <f t="shared" si="38"/>
        <v>743.97488118073704</v>
      </c>
      <c r="AT171" s="42">
        <f t="shared" si="39"/>
        <v>62000</v>
      </c>
      <c r="AU171" s="31">
        <f t="shared" si="40"/>
        <v>37100</v>
      </c>
      <c r="AV171" s="31">
        <f t="shared" si="41"/>
        <v>41.745591805438323</v>
      </c>
      <c r="AW171" s="37">
        <f t="shared" si="42"/>
        <v>20371.217918855666</v>
      </c>
      <c r="AX171" s="31">
        <f t="shared" si="43"/>
        <v>147.50471695237411</v>
      </c>
      <c r="AY171" s="42">
        <f t="shared" si="44"/>
        <v>67506.440471105685</v>
      </c>
      <c r="AZ171" s="42">
        <f t="shared" si="48"/>
        <v>21593490.993987005</v>
      </c>
      <c r="BA171" s="42">
        <f t="shared" si="45"/>
        <v>69356.834028050391</v>
      </c>
      <c r="BB171" s="42">
        <f t="shared" si="46"/>
        <v>13950</v>
      </c>
      <c r="BC171" s="38">
        <f t="shared" si="49"/>
        <v>27.13</v>
      </c>
      <c r="BD171" s="38">
        <f t="shared" si="50"/>
        <v>19.659420289855074</v>
      </c>
      <c r="BE171" s="38">
        <f t="shared" si="51"/>
        <v>41.951999999999998</v>
      </c>
      <c r="BH171" s="34">
        <v>22</v>
      </c>
      <c r="BI171" s="43">
        <v>3.93</v>
      </c>
    </row>
    <row r="172" spans="14:61">
      <c r="N172" s="30" t="s">
        <v>372</v>
      </c>
      <c r="O172" s="40">
        <v>98.9</v>
      </c>
      <c r="P172" s="128">
        <v>30</v>
      </c>
      <c r="Q172" s="128">
        <v>1.26</v>
      </c>
      <c r="R172" s="128">
        <v>14.6</v>
      </c>
      <c r="S172" s="128">
        <v>2.2799999999999998</v>
      </c>
      <c r="T172" s="40">
        <v>3.07</v>
      </c>
      <c r="U172" s="132">
        <v>1.4375</v>
      </c>
      <c r="V172" s="40">
        <v>3.19</v>
      </c>
      <c r="W172" s="84" t="s">
        <v>127</v>
      </c>
      <c r="X172" s="35">
        <f t="shared" si="35"/>
        <v>20.19047619047619</v>
      </c>
      <c r="Y172" s="36">
        <f t="shared" si="36"/>
        <v>4.1019417262957214</v>
      </c>
      <c r="Z172" s="34">
        <v>0.9</v>
      </c>
      <c r="AA172" s="40">
        <v>14600</v>
      </c>
      <c r="AB172" s="128">
        <v>972</v>
      </c>
      <c r="AC172" s="40">
        <v>12.1</v>
      </c>
      <c r="AD172" s="40">
        <v>1180</v>
      </c>
      <c r="AE172" s="128">
        <v>162</v>
      </c>
      <c r="AF172" s="40">
        <v>3.45</v>
      </c>
      <c r="AG172" s="41">
        <v>1130</v>
      </c>
      <c r="AH172" s="40">
        <v>252</v>
      </c>
      <c r="AI172" s="41">
        <v>131</v>
      </c>
      <c r="AJ172" s="40">
        <v>227000</v>
      </c>
      <c r="AK172" s="40">
        <v>101</v>
      </c>
      <c r="AL172" s="40">
        <v>836</v>
      </c>
      <c r="AM172" s="40">
        <v>210</v>
      </c>
      <c r="AN172" s="40">
        <v>562</v>
      </c>
      <c r="AO172" s="146" t="s">
        <v>366</v>
      </c>
      <c r="AP172" s="39" t="s">
        <v>69</v>
      </c>
      <c r="AQ172" s="40">
        <f t="shared" si="37"/>
        <v>146.23312456485365</v>
      </c>
      <c r="AR172" s="41">
        <f t="shared" si="47"/>
        <v>27.72</v>
      </c>
      <c r="AS172" s="37">
        <f t="shared" si="38"/>
        <v>683.91258927263789</v>
      </c>
      <c r="AT172" s="42">
        <f t="shared" si="39"/>
        <v>56500</v>
      </c>
      <c r="AU172" s="31">
        <f t="shared" si="40"/>
        <v>34020</v>
      </c>
      <c r="AV172" s="31">
        <f t="shared" si="41"/>
        <v>41.809296198837224</v>
      </c>
      <c r="AW172" s="37">
        <f t="shared" si="42"/>
        <v>19859.341937848014</v>
      </c>
      <c r="AX172" s="31">
        <f t="shared" si="43"/>
        <v>146.23312456485365</v>
      </c>
      <c r="AY172" s="42">
        <f t="shared" si="44"/>
        <v>61961.678998311567</v>
      </c>
      <c r="AZ172" s="42">
        <f t="shared" si="48"/>
        <v>19303280.36358827</v>
      </c>
      <c r="BA172" s="42">
        <f t="shared" si="45"/>
        <v>63141.832487974811</v>
      </c>
      <c r="BB172" s="42">
        <f t="shared" si="46"/>
        <v>12600</v>
      </c>
      <c r="BC172" s="38">
        <f t="shared" si="49"/>
        <v>26.93</v>
      </c>
      <c r="BD172" s="38">
        <f t="shared" si="50"/>
        <v>21.373015873015873</v>
      </c>
      <c r="BE172" s="38">
        <f t="shared" si="51"/>
        <v>37.799999999999997</v>
      </c>
      <c r="BH172" s="34">
        <v>23.8</v>
      </c>
      <c r="BI172" s="43">
        <v>3.89</v>
      </c>
    </row>
    <row r="173" spans="14:61">
      <c r="N173" s="30" t="s">
        <v>373</v>
      </c>
      <c r="O173" s="40">
        <v>90.4</v>
      </c>
      <c r="P173" s="128">
        <v>29.6</v>
      </c>
      <c r="Q173" s="128">
        <v>1.1599999999999999</v>
      </c>
      <c r="R173" s="128">
        <v>14.4</v>
      </c>
      <c r="S173" s="128">
        <v>2.09</v>
      </c>
      <c r="T173" s="40">
        <v>2.88</v>
      </c>
      <c r="U173" s="132">
        <v>1.4375</v>
      </c>
      <c r="V173" s="40">
        <v>3.46</v>
      </c>
      <c r="W173" s="84" t="s">
        <v>127</v>
      </c>
      <c r="X173" s="35">
        <f t="shared" si="35"/>
        <v>21.913793103448278</v>
      </c>
      <c r="Y173" s="36">
        <f t="shared" si="36"/>
        <v>4.0351820870638528</v>
      </c>
      <c r="Z173" s="34">
        <v>0.98</v>
      </c>
      <c r="AA173" s="40">
        <v>13100</v>
      </c>
      <c r="AB173" s="128">
        <v>887</v>
      </c>
      <c r="AC173" s="40">
        <v>12</v>
      </c>
      <c r="AD173" s="40">
        <v>1050</v>
      </c>
      <c r="AE173" s="128">
        <v>146</v>
      </c>
      <c r="AF173" s="40">
        <v>3.41</v>
      </c>
      <c r="AG173" s="41">
        <v>1030</v>
      </c>
      <c r="AH173" s="40">
        <v>227</v>
      </c>
      <c r="AI173" s="41">
        <v>101</v>
      </c>
      <c r="AJ173" s="40">
        <v>199000</v>
      </c>
      <c r="AK173" s="40">
        <v>99.4</v>
      </c>
      <c r="AL173" s="40">
        <v>750</v>
      </c>
      <c r="AM173" s="40">
        <v>191</v>
      </c>
      <c r="AN173" s="40">
        <v>509</v>
      </c>
      <c r="AO173" s="146" t="s">
        <v>366</v>
      </c>
      <c r="AP173" s="39" t="s">
        <v>69</v>
      </c>
      <c r="AQ173" s="40">
        <f t="shared" si="37"/>
        <v>144.5376680481597</v>
      </c>
      <c r="AR173" s="41">
        <f t="shared" si="47"/>
        <v>27.51</v>
      </c>
      <c r="AS173" s="37">
        <f t="shared" si="38"/>
        <v>629.85948642281232</v>
      </c>
      <c r="AT173" s="42">
        <f t="shared" si="39"/>
        <v>51500</v>
      </c>
      <c r="AU173" s="31">
        <f t="shared" si="40"/>
        <v>31045</v>
      </c>
      <c r="AV173" s="31">
        <f t="shared" si="41"/>
        <v>42.147291190212691</v>
      </c>
      <c r="AW173" s="37">
        <f t="shared" si="42"/>
        <v>19211.869962251665</v>
      </c>
      <c r="AX173" s="31">
        <f t="shared" si="43"/>
        <v>144.5376680481597</v>
      </c>
      <c r="AY173" s="42">
        <f t="shared" si="44"/>
        <v>56934.37344061277</v>
      </c>
      <c r="AZ173" s="42">
        <f t="shared" si="48"/>
        <v>17040928.656517226</v>
      </c>
      <c r="BA173" s="42">
        <f t="shared" si="45"/>
        <v>57543.53574472975</v>
      </c>
      <c r="BB173" s="42">
        <f t="shared" si="46"/>
        <v>11350</v>
      </c>
      <c r="BC173" s="38">
        <f t="shared" si="49"/>
        <v>26.720000000000002</v>
      </c>
      <c r="BD173" s="38">
        <f t="shared" si="50"/>
        <v>23.034482758620694</v>
      </c>
      <c r="BE173" s="38">
        <f t="shared" si="51"/>
        <v>34.335999999999999</v>
      </c>
      <c r="BH173" s="34">
        <v>25.5</v>
      </c>
      <c r="BI173" s="43">
        <v>3.86</v>
      </c>
    </row>
    <row r="174" spans="14:61">
      <c r="N174" s="30" t="s">
        <v>374</v>
      </c>
      <c r="O174" s="40">
        <v>82.9</v>
      </c>
      <c r="P174" s="128">
        <v>29.3</v>
      </c>
      <c r="Q174" s="128">
        <v>1.06</v>
      </c>
      <c r="R174" s="128">
        <v>14.4</v>
      </c>
      <c r="S174" s="128">
        <v>1.93</v>
      </c>
      <c r="T174" s="40">
        <v>2.72</v>
      </c>
      <c r="U174" s="132">
        <v>1.375</v>
      </c>
      <c r="V174" s="40">
        <v>3.72</v>
      </c>
      <c r="W174" s="84" t="s">
        <v>127</v>
      </c>
      <c r="X174" s="35">
        <f t="shared" si="35"/>
        <v>24</v>
      </c>
      <c r="Y174" s="36">
        <f t="shared" si="36"/>
        <v>4.0027332492152734</v>
      </c>
      <c r="Z174" s="34">
        <v>1.06</v>
      </c>
      <c r="AA174" s="40">
        <v>11900</v>
      </c>
      <c r="AB174" s="128">
        <v>814</v>
      </c>
      <c r="AC174" s="40">
        <v>12</v>
      </c>
      <c r="AD174" s="40">
        <v>953</v>
      </c>
      <c r="AE174" s="128">
        <v>133</v>
      </c>
      <c r="AF174" s="40">
        <v>3.39</v>
      </c>
      <c r="AG174" s="41">
        <v>936</v>
      </c>
      <c r="AH174" s="40">
        <v>206</v>
      </c>
      <c r="AI174" s="41">
        <v>79.5</v>
      </c>
      <c r="AJ174" s="40">
        <v>178000</v>
      </c>
      <c r="AK174" s="40">
        <v>98.2</v>
      </c>
      <c r="AL174" s="40">
        <v>680</v>
      </c>
      <c r="AM174" s="40">
        <v>175</v>
      </c>
      <c r="AN174" s="40">
        <v>465</v>
      </c>
      <c r="AO174" s="146" t="s">
        <v>366</v>
      </c>
      <c r="AP174" s="39" t="s">
        <v>69</v>
      </c>
      <c r="AQ174" s="40">
        <f t="shared" si="37"/>
        <v>143.68993978981271</v>
      </c>
      <c r="AR174" s="41">
        <f t="shared" si="47"/>
        <v>27.37</v>
      </c>
      <c r="AS174" s="37">
        <f t="shared" si="38"/>
        <v>589.91213266476132</v>
      </c>
      <c r="AT174" s="42">
        <f t="shared" si="39"/>
        <v>46800</v>
      </c>
      <c r="AU174" s="31">
        <f t="shared" si="40"/>
        <v>28490</v>
      </c>
      <c r="AV174" s="31">
        <f t="shared" si="41"/>
        <v>41.033369232559167</v>
      </c>
      <c r="AW174" s="37">
        <f t="shared" si="42"/>
        <v>18898.50572402318</v>
      </c>
      <c r="AX174" s="31">
        <f t="shared" si="43"/>
        <v>143.68993978981271</v>
      </c>
      <c r="AY174" s="42">
        <f t="shared" si="44"/>
        <v>52055.961794371658</v>
      </c>
      <c r="AZ174" s="42">
        <f t="shared" si="48"/>
        <v>15383383.659354869</v>
      </c>
      <c r="BA174" s="42">
        <f t="shared" si="45"/>
        <v>52209.784379662757</v>
      </c>
      <c r="BB174" s="42">
        <f t="shared" si="46"/>
        <v>10300</v>
      </c>
      <c r="BC174" s="38">
        <f t="shared" si="49"/>
        <v>26.580000000000002</v>
      </c>
      <c r="BD174" s="38">
        <f t="shared" si="50"/>
        <v>25.075471698113208</v>
      </c>
      <c r="BE174" s="38">
        <f t="shared" si="51"/>
        <v>31.058000000000003</v>
      </c>
      <c r="BH174" s="34">
        <v>27.6</v>
      </c>
      <c r="BI174" s="43">
        <v>3.84</v>
      </c>
    </row>
    <row r="175" spans="14:61">
      <c r="N175" s="30" t="s">
        <v>375</v>
      </c>
      <c r="O175" s="40">
        <v>76</v>
      </c>
      <c r="P175" s="128">
        <v>29</v>
      </c>
      <c r="Q175" s="128">
        <v>0.98</v>
      </c>
      <c r="R175" s="128">
        <v>14.3</v>
      </c>
      <c r="S175" s="128">
        <v>1.77</v>
      </c>
      <c r="T175" s="40">
        <v>2.56</v>
      </c>
      <c r="U175" s="132">
        <v>1.3125</v>
      </c>
      <c r="V175" s="40">
        <v>4.03</v>
      </c>
      <c r="W175" s="84" t="s">
        <v>127</v>
      </c>
      <c r="X175" s="35">
        <f t="shared" si="35"/>
        <v>25.979591836734695</v>
      </c>
      <c r="Y175" s="36">
        <f t="shared" si="36"/>
        <v>3.9621167483451036</v>
      </c>
      <c r="Z175" s="34">
        <v>1.1499999999999999</v>
      </c>
      <c r="AA175" s="40">
        <v>10800</v>
      </c>
      <c r="AB175" s="128">
        <v>745</v>
      </c>
      <c r="AC175" s="40">
        <v>11.9</v>
      </c>
      <c r="AD175" s="40">
        <v>859</v>
      </c>
      <c r="AE175" s="128">
        <v>120</v>
      </c>
      <c r="AF175" s="40">
        <v>3.36</v>
      </c>
      <c r="AG175" s="41">
        <v>852</v>
      </c>
      <c r="AH175" s="40">
        <v>187</v>
      </c>
      <c r="AI175" s="41">
        <v>61.6</v>
      </c>
      <c r="AJ175" s="40">
        <v>159000</v>
      </c>
      <c r="AK175" s="40">
        <v>97.1</v>
      </c>
      <c r="AL175" s="40">
        <v>613</v>
      </c>
      <c r="AM175" s="40">
        <v>160</v>
      </c>
      <c r="AN175" s="40">
        <v>423</v>
      </c>
      <c r="AO175" s="146" t="s">
        <v>366</v>
      </c>
      <c r="AP175" s="39" t="s">
        <v>69</v>
      </c>
      <c r="AQ175" s="40">
        <f t="shared" si="37"/>
        <v>142.41834740229223</v>
      </c>
      <c r="AR175" s="41">
        <f t="shared" si="47"/>
        <v>27.23</v>
      </c>
      <c r="AS175" s="37">
        <f t="shared" si="38"/>
        <v>550.80644802947268</v>
      </c>
      <c r="AT175" s="42">
        <f t="shared" si="39"/>
        <v>42600</v>
      </c>
      <c r="AU175" s="31">
        <f t="shared" si="40"/>
        <v>26075</v>
      </c>
      <c r="AV175" s="31">
        <f t="shared" si="41"/>
        <v>40.463960567464611</v>
      </c>
      <c r="AW175" s="37">
        <f t="shared" si="42"/>
        <v>18511.791788920946</v>
      </c>
      <c r="AX175" s="31">
        <f t="shared" si="43"/>
        <v>142.41834740229223</v>
      </c>
      <c r="AY175" s="42">
        <f t="shared" si="44"/>
        <v>47731.572608517381</v>
      </c>
      <c r="AZ175" s="42">
        <f t="shared" si="48"/>
        <v>13791284.882746104</v>
      </c>
      <c r="BA175" s="42">
        <f t="shared" si="45"/>
        <v>47482.396880061555</v>
      </c>
      <c r="BB175" s="42">
        <f t="shared" si="46"/>
        <v>9350</v>
      </c>
      <c r="BC175" s="38">
        <f t="shared" si="49"/>
        <v>26.44</v>
      </c>
      <c r="BD175" s="38">
        <f t="shared" si="50"/>
        <v>26.979591836734695</v>
      </c>
      <c r="BE175" s="38">
        <f t="shared" si="51"/>
        <v>28.419999999999998</v>
      </c>
      <c r="BH175" s="34">
        <v>29.6</v>
      </c>
      <c r="BI175" s="43">
        <v>3.81</v>
      </c>
    </row>
    <row r="176" spans="14:61">
      <c r="N176" s="30" t="s">
        <v>376</v>
      </c>
      <c r="O176" s="40">
        <v>69.400000000000006</v>
      </c>
      <c r="P176" s="128">
        <v>28.7</v>
      </c>
      <c r="Q176" s="128">
        <v>0.91</v>
      </c>
      <c r="R176" s="128">
        <v>14.2</v>
      </c>
      <c r="S176" s="128">
        <v>1.61</v>
      </c>
      <c r="T176" s="40">
        <v>2.4</v>
      </c>
      <c r="U176" s="132" t="s">
        <v>377</v>
      </c>
      <c r="V176" s="40">
        <v>4.41</v>
      </c>
      <c r="W176" s="84" t="s">
        <v>127</v>
      </c>
      <c r="X176" s="35">
        <f t="shared" si="35"/>
        <v>28</v>
      </c>
      <c r="Y176" s="36">
        <f t="shared" si="36"/>
        <v>3.9224583449977191</v>
      </c>
      <c r="Z176" s="34">
        <v>1.25</v>
      </c>
      <c r="AA176" s="40">
        <v>9700</v>
      </c>
      <c r="AB176" s="128">
        <v>677</v>
      </c>
      <c r="AC176" s="40">
        <v>11.8</v>
      </c>
      <c r="AD176" s="40">
        <v>769</v>
      </c>
      <c r="AE176" s="128">
        <v>108</v>
      </c>
      <c r="AF176" s="40">
        <v>3.33</v>
      </c>
      <c r="AG176" s="41">
        <v>772</v>
      </c>
      <c r="AH176" s="40">
        <v>168</v>
      </c>
      <c r="AI176" s="41">
        <v>47</v>
      </c>
      <c r="AJ176" s="40">
        <v>141000</v>
      </c>
      <c r="AK176" s="40">
        <v>96</v>
      </c>
      <c r="AL176" s="40">
        <v>548</v>
      </c>
      <c r="AM176" s="40">
        <v>145</v>
      </c>
      <c r="AN176" s="40">
        <v>383</v>
      </c>
      <c r="AO176" s="146" t="s">
        <v>366</v>
      </c>
      <c r="AP176" s="39" t="s">
        <v>69</v>
      </c>
      <c r="AQ176" s="40">
        <f t="shared" si="37"/>
        <v>141.14675501477177</v>
      </c>
      <c r="AR176" s="41">
        <f t="shared" si="47"/>
        <v>27.09</v>
      </c>
      <c r="AS176" s="37">
        <f t="shared" si="38"/>
        <v>515.41833049802199</v>
      </c>
      <c r="AT176" s="42">
        <f t="shared" si="39"/>
        <v>38600</v>
      </c>
      <c r="AU176" s="31">
        <f t="shared" si="40"/>
        <v>23695</v>
      </c>
      <c r="AV176" s="31">
        <f t="shared" si="41"/>
        <v>39.824023453437604</v>
      </c>
      <c r="AW176" s="37">
        <f t="shared" si="42"/>
        <v>18138.453048530355</v>
      </c>
      <c r="AX176" s="31">
        <f t="shared" si="43"/>
        <v>141.14675501477177</v>
      </c>
      <c r="AY176" s="42">
        <f t="shared" si="44"/>
        <v>43599.776916211253</v>
      </c>
      <c r="AZ176" s="42">
        <f t="shared" si="48"/>
        <v>12279732.713855051</v>
      </c>
      <c r="BA176" s="42">
        <f t="shared" si="45"/>
        <v>43003.759485465504</v>
      </c>
      <c r="BB176" s="42">
        <f t="shared" si="46"/>
        <v>8400</v>
      </c>
      <c r="BC176" s="38">
        <f t="shared" si="49"/>
        <v>26.3</v>
      </c>
      <c r="BD176" s="38">
        <f t="shared" si="50"/>
        <v>28.901098901098901</v>
      </c>
      <c r="BE176" s="38">
        <f t="shared" si="51"/>
        <v>26.117000000000001</v>
      </c>
      <c r="BH176" s="34">
        <v>31.5</v>
      </c>
      <c r="BI176" s="43">
        <v>3.78</v>
      </c>
    </row>
    <row r="177" spans="14:61">
      <c r="N177" s="30" t="s">
        <v>378</v>
      </c>
      <c r="O177" s="40">
        <v>64</v>
      </c>
      <c r="P177" s="128">
        <v>28.4</v>
      </c>
      <c r="Q177" s="128">
        <v>0.83</v>
      </c>
      <c r="R177" s="128">
        <v>14.1</v>
      </c>
      <c r="S177" s="128">
        <v>1.5</v>
      </c>
      <c r="T177" s="40">
        <v>2.29</v>
      </c>
      <c r="U177" s="132">
        <v>1.25</v>
      </c>
      <c r="V177" s="40">
        <v>4.71</v>
      </c>
      <c r="W177" s="84" t="s">
        <v>127</v>
      </c>
      <c r="X177" s="35">
        <f t="shared" si="35"/>
        <v>30.602409638554217</v>
      </c>
      <c r="Y177" s="36">
        <f t="shared" si="36"/>
        <v>3.8860975780292639</v>
      </c>
      <c r="Z177" s="34">
        <v>1.34</v>
      </c>
      <c r="AA177" s="40">
        <v>8910</v>
      </c>
      <c r="AB177" s="128">
        <v>627</v>
      </c>
      <c r="AC177" s="40">
        <v>11.8</v>
      </c>
      <c r="AD177" s="40">
        <v>704</v>
      </c>
      <c r="AE177" s="128">
        <v>99.8</v>
      </c>
      <c r="AF177" s="40">
        <v>3.32</v>
      </c>
      <c r="AG177" s="41">
        <v>711</v>
      </c>
      <c r="AH177" s="40">
        <v>154</v>
      </c>
      <c r="AI177" s="41">
        <v>37.6</v>
      </c>
      <c r="AJ177" s="40">
        <v>128000</v>
      </c>
      <c r="AK177" s="40">
        <v>95</v>
      </c>
      <c r="AL177" s="40">
        <v>503</v>
      </c>
      <c r="AM177" s="40">
        <v>134</v>
      </c>
      <c r="AN177" s="40">
        <v>352</v>
      </c>
      <c r="AO177" s="146" t="s">
        <v>366</v>
      </c>
      <c r="AP177" s="39" t="s">
        <v>69</v>
      </c>
      <c r="AQ177" s="40">
        <f t="shared" si="37"/>
        <v>140.72289088559828</v>
      </c>
      <c r="AR177" s="41">
        <f t="shared" si="47"/>
        <v>26.9</v>
      </c>
      <c r="AS177" s="37">
        <f t="shared" si="38"/>
        <v>489.52690010031699</v>
      </c>
      <c r="AT177" s="42">
        <f t="shared" si="39"/>
        <v>35550</v>
      </c>
      <c r="AU177" s="31">
        <f t="shared" si="40"/>
        <v>21945</v>
      </c>
      <c r="AV177" s="31">
        <f t="shared" si="41"/>
        <v>39.004712218273156</v>
      </c>
      <c r="AW177" s="37">
        <f t="shared" si="42"/>
        <v>17800.536993324193</v>
      </c>
      <c r="AX177" s="31">
        <f t="shared" si="43"/>
        <v>140.72289088559828</v>
      </c>
      <c r="AY177" s="42">
        <f t="shared" si="44"/>
        <v>40430.382350911153</v>
      </c>
      <c r="AZ177" s="42">
        <f t="shared" si="48"/>
        <v>11160936.694814268</v>
      </c>
      <c r="BA177" s="42">
        <f t="shared" si="45"/>
        <v>39569.667749061271</v>
      </c>
      <c r="BB177" s="42">
        <f t="shared" si="46"/>
        <v>7700</v>
      </c>
      <c r="BC177" s="38">
        <f t="shared" si="49"/>
        <v>26.11</v>
      </c>
      <c r="BD177" s="38">
        <f t="shared" si="50"/>
        <v>31.457831325301207</v>
      </c>
      <c r="BE177" s="38">
        <f t="shared" si="51"/>
        <v>23.571999999999999</v>
      </c>
      <c r="BH177" s="34">
        <v>34.299999999999997</v>
      </c>
      <c r="BI177" s="43">
        <v>3.76</v>
      </c>
    </row>
    <row r="178" spans="14:61">
      <c r="N178" s="30" t="s">
        <v>379</v>
      </c>
      <c r="O178" s="40">
        <v>57.2</v>
      </c>
      <c r="P178" s="128">
        <v>28.1</v>
      </c>
      <c r="Q178" s="128">
        <v>0.75</v>
      </c>
      <c r="R178" s="128">
        <v>14</v>
      </c>
      <c r="S178" s="128">
        <v>1.34</v>
      </c>
      <c r="T178" s="40">
        <v>2.13</v>
      </c>
      <c r="U178" s="132">
        <v>1.1875</v>
      </c>
      <c r="V178" s="40">
        <v>5.24</v>
      </c>
      <c r="W178" s="84" t="s">
        <v>127</v>
      </c>
      <c r="X178" s="35">
        <f t="shared" si="35"/>
        <v>33.893333333333338</v>
      </c>
      <c r="Y178" s="36">
        <f t="shared" si="36"/>
        <v>3.8491734121842565</v>
      </c>
      <c r="Z178" s="34">
        <v>1.49</v>
      </c>
      <c r="AA178" s="40">
        <v>7860</v>
      </c>
      <c r="AB178" s="128">
        <v>559</v>
      </c>
      <c r="AC178" s="40">
        <v>11.7</v>
      </c>
      <c r="AD178" s="40">
        <v>619</v>
      </c>
      <c r="AE178" s="128">
        <v>88.1</v>
      </c>
      <c r="AF178" s="40">
        <v>3.29</v>
      </c>
      <c r="AG178" s="41">
        <v>631</v>
      </c>
      <c r="AH178" s="40">
        <v>136</v>
      </c>
      <c r="AI178" s="41">
        <v>27.1</v>
      </c>
      <c r="AJ178" s="40">
        <v>111000</v>
      </c>
      <c r="AK178" s="40">
        <v>93.9</v>
      </c>
      <c r="AL178" s="40">
        <v>442</v>
      </c>
      <c r="AM178" s="40">
        <v>119</v>
      </c>
      <c r="AN178" s="40">
        <v>312</v>
      </c>
      <c r="AO178" s="146" t="s">
        <v>366</v>
      </c>
      <c r="AP178" s="39" t="s">
        <v>69</v>
      </c>
      <c r="AQ178" s="40">
        <f t="shared" si="37"/>
        <v>139.45129849807782</v>
      </c>
      <c r="AR178" s="41">
        <f t="shared" si="47"/>
        <v>26.76</v>
      </c>
      <c r="AS178" s="37">
        <f t="shared" si="38"/>
        <v>458.49141147809854</v>
      </c>
      <c r="AT178" s="42">
        <f t="shared" si="39"/>
        <v>31550</v>
      </c>
      <c r="AU178" s="31">
        <f t="shared" si="40"/>
        <v>19565</v>
      </c>
      <c r="AV178" s="31">
        <f t="shared" si="41"/>
        <v>37.565809164412308</v>
      </c>
      <c r="AW178" s="37">
        <f t="shared" si="42"/>
        <v>17459.687169347828</v>
      </c>
      <c r="AX178" s="31">
        <f t="shared" si="43"/>
        <v>139.45129849807782</v>
      </c>
      <c r="AY178" s="42">
        <f t="shared" si="44"/>
        <v>36202.574244143456</v>
      </c>
      <c r="AZ178" s="42">
        <f t="shared" si="48"/>
        <v>9759965.1276654359</v>
      </c>
      <c r="BA178" s="42">
        <f t="shared" si="45"/>
        <v>35091.03035446522</v>
      </c>
      <c r="BB178" s="42">
        <f t="shared" si="46"/>
        <v>6800</v>
      </c>
      <c r="BC178" s="38">
        <f t="shared" si="49"/>
        <v>25.970000000000002</v>
      </c>
      <c r="BD178" s="38">
        <f t="shared" si="50"/>
        <v>34.626666666666672</v>
      </c>
      <c r="BE178" s="38">
        <f t="shared" si="51"/>
        <v>21.075000000000003</v>
      </c>
      <c r="BH178" s="34">
        <v>37.5</v>
      </c>
      <c r="BI178" s="43">
        <v>3.74</v>
      </c>
    </row>
    <row r="179" spans="14:61">
      <c r="N179" s="30" t="s">
        <v>380</v>
      </c>
      <c r="O179" s="40">
        <v>52.5</v>
      </c>
      <c r="P179" s="128">
        <v>27.8</v>
      </c>
      <c r="Q179" s="128">
        <v>0.72499999999999998</v>
      </c>
      <c r="R179" s="128">
        <v>14.1</v>
      </c>
      <c r="S179" s="128">
        <v>1.19</v>
      </c>
      <c r="T179" s="40">
        <v>1.98</v>
      </c>
      <c r="U179" s="132">
        <v>1.1875</v>
      </c>
      <c r="V179" s="40">
        <v>5.92</v>
      </c>
      <c r="W179" s="84" t="s">
        <v>127</v>
      </c>
      <c r="X179" s="35">
        <f t="shared" si="35"/>
        <v>35.062068965517241</v>
      </c>
      <c r="Y179" s="36">
        <f t="shared" si="36"/>
        <v>3.8239151053172282</v>
      </c>
      <c r="Z179" s="34">
        <v>1.66</v>
      </c>
      <c r="AA179" s="40">
        <v>7020</v>
      </c>
      <c r="AB179" s="128">
        <v>505</v>
      </c>
      <c r="AC179" s="40">
        <v>11.6</v>
      </c>
      <c r="AD179" s="40">
        <v>555</v>
      </c>
      <c r="AE179" s="128">
        <v>78.8</v>
      </c>
      <c r="AF179" s="40">
        <v>3.25</v>
      </c>
      <c r="AG179" s="41">
        <v>570</v>
      </c>
      <c r="AH179" s="40">
        <v>122</v>
      </c>
      <c r="AI179" s="41">
        <v>20.100000000000001</v>
      </c>
      <c r="AJ179" s="40">
        <v>98300</v>
      </c>
      <c r="AK179" s="40">
        <v>93.7</v>
      </c>
      <c r="AL179" s="40">
        <v>393</v>
      </c>
      <c r="AM179" s="40">
        <v>106</v>
      </c>
      <c r="AN179" s="40">
        <v>282</v>
      </c>
      <c r="AO179" s="146" t="s">
        <v>366</v>
      </c>
      <c r="AP179" s="39" t="s">
        <v>69</v>
      </c>
      <c r="AQ179" s="40">
        <f t="shared" si="37"/>
        <v>137.75584198138387</v>
      </c>
      <c r="AR179" s="41">
        <f t="shared" si="47"/>
        <v>26.61</v>
      </c>
      <c r="AS179" s="37">
        <f t="shared" si="38"/>
        <v>435.64808166598272</v>
      </c>
      <c r="AT179" s="42">
        <f t="shared" si="39"/>
        <v>28500</v>
      </c>
      <c r="AU179" s="31">
        <f t="shared" si="40"/>
        <v>17675</v>
      </c>
      <c r="AV179" s="31">
        <f t="shared" si="41"/>
        <v>36.338643837990709</v>
      </c>
      <c r="AW179" s="37">
        <f t="shared" si="42"/>
        <v>17228.037069225884</v>
      </c>
      <c r="AX179" s="31">
        <f t="shared" si="43"/>
        <v>137.75584198138387</v>
      </c>
      <c r="AY179" s="42">
        <f t="shared" si="44"/>
        <v>32938.977634491384</v>
      </c>
      <c r="AZ179" s="42">
        <f t="shared" si="48"/>
        <v>8700158.7199590709</v>
      </c>
      <c r="BA179" s="42">
        <f t="shared" si="45"/>
        <v>31698.302343519899</v>
      </c>
      <c r="BB179" s="42">
        <f t="shared" si="46"/>
        <v>6100</v>
      </c>
      <c r="BC179" s="38">
        <f t="shared" si="49"/>
        <v>25.82</v>
      </c>
      <c r="BD179" s="38">
        <f t="shared" si="50"/>
        <v>35.61379310344828</v>
      </c>
      <c r="BE179" s="38">
        <f t="shared" si="51"/>
        <v>20.155000000000001</v>
      </c>
      <c r="BH179" s="34">
        <v>38.4</v>
      </c>
      <c r="BI179" s="43">
        <v>3.72</v>
      </c>
    </row>
    <row r="180" spans="14:61">
      <c r="N180" s="30" t="s">
        <v>381</v>
      </c>
      <c r="O180" s="40">
        <v>47.6</v>
      </c>
      <c r="P180" s="128">
        <v>27.6</v>
      </c>
      <c r="Q180" s="128">
        <v>0.66</v>
      </c>
      <c r="R180" s="128">
        <v>14</v>
      </c>
      <c r="S180" s="128">
        <v>1.08</v>
      </c>
      <c r="T180" s="40">
        <v>1.87</v>
      </c>
      <c r="U180" s="132">
        <v>1.1875</v>
      </c>
      <c r="V180" s="40">
        <v>6.49</v>
      </c>
      <c r="W180" s="84" t="s">
        <v>127</v>
      </c>
      <c r="X180" s="35">
        <f t="shared" si="35"/>
        <v>38.545454545454547</v>
      </c>
      <c r="Y180" s="36">
        <f t="shared" si="36"/>
        <v>3.7933002303475254</v>
      </c>
      <c r="Z180" s="34">
        <v>1.82</v>
      </c>
      <c r="AA180" s="40">
        <v>6310</v>
      </c>
      <c r="AB180" s="128">
        <v>458</v>
      </c>
      <c r="AC180" s="40">
        <v>11.5</v>
      </c>
      <c r="AD180" s="40">
        <v>497</v>
      </c>
      <c r="AE180" s="128">
        <v>70.900000000000006</v>
      </c>
      <c r="AF180" s="40">
        <v>3.23</v>
      </c>
      <c r="AG180" s="41">
        <v>515</v>
      </c>
      <c r="AH180" s="40">
        <v>109</v>
      </c>
      <c r="AI180" s="41">
        <v>15.1</v>
      </c>
      <c r="AJ180" s="40">
        <v>87300</v>
      </c>
      <c r="AK180" s="40">
        <v>92.9</v>
      </c>
      <c r="AL180" s="40">
        <v>352</v>
      </c>
      <c r="AM180" s="40">
        <v>95.6</v>
      </c>
      <c r="AN180" s="40">
        <v>254</v>
      </c>
      <c r="AO180" s="146" t="s">
        <v>366</v>
      </c>
      <c r="AP180" s="39" t="s">
        <v>69</v>
      </c>
      <c r="AQ180" s="40">
        <f t="shared" si="37"/>
        <v>136.90811372303688</v>
      </c>
      <c r="AR180" s="41">
        <f t="shared" si="47"/>
        <v>26.520000000000003</v>
      </c>
      <c r="AS180" s="37">
        <f t="shared" si="38"/>
        <v>416.51271405289714</v>
      </c>
      <c r="AT180" s="42">
        <f t="shared" si="39"/>
        <v>25750</v>
      </c>
      <c r="AU180" s="31">
        <f t="shared" si="40"/>
        <v>16030</v>
      </c>
      <c r="AV180" s="31">
        <f t="shared" si="41"/>
        <v>34.763376527184974</v>
      </c>
      <c r="AW180" s="37">
        <f t="shared" si="42"/>
        <v>16950.727813947346</v>
      </c>
      <c r="AX180" s="31">
        <f t="shared" si="43"/>
        <v>136.90811372303688</v>
      </c>
      <c r="AY180" s="42">
        <f t="shared" si="44"/>
        <v>29967.079633156507</v>
      </c>
      <c r="AZ180" s="42">
        <f t="shared" si="48"/>
        <v>7763433.3387878845</v>
      </c>
      <c r="BA180" s="42">
        <f t="shared" si="45"/>
        <v>28621.824367576297</v>
      </c>
      <c r="BB180" s="42">
        <f t="shared" si="46"/>
        <v>5450</v>
      </c>
      <c r="BC180" s="38">
        <f t="shared" si="49"/>
        <v>25.73</v>
      </c>
      <c r="BD180" s="38">
        <f t="shared" si="50"/>
        <v>38.984848484848484</v>
      </c>
      <c r="BE180" s="38">
        <f t="shared" si="51"/>
        <v>18.216000000000001</v>
      </c>
      <c r="BH180" s="34">
        <v>41.8</v>
      </c>
      <c r="BI180" s="43">
        <v>3.7</v>
      </c>
    </row>
    <row r="181" spans="14:61">
      <c r="N181" s="30" t="s">
        <v>382</v>
      </c>
      <c r="O181" s="40">
        <v>43.1</v>
      </c>
      <c r="P181" s="128">
        <v>27.4</v>
      </c>
      <c r="Q181" s="128">
        <v>0.60499999999999998</v>
      </c>
      <c r="R181" s="128">
        <v>14</v>
      </c>
      <c r="S181" s="128">
        <v>0.97499999999999998</v>
      </c>
      <c r="T181" s="40">
        <v>1.76</v>
      </c>
      <c r="U181" s="132">
        <v>1.125</v>
      </c>
      <c r="V181" s="40">
        <v>7.16</v>
      </c>
      <c r="W181" s="84" t="s">
        <v>127</v>
      </c>
      <c r="X181" s="35">
        <f t="shared" si="35"/>
        <v>42.066115702479337</v>
      </c>
      <c r="Y181" s="36">
        <f t="shared" si="36"/>
        <v>3.760054957713272</v>
      </c>
      <c r="Z181" s="34">
        <v>2.0099999999999998</v>
      </c>
      <c r="AA181" s="40">
        <v>5660</v>
      </c>
      <c r="AB181" s="128">
        <v>414</v>
      </c>
      <c r="AC181" s="40">
        <v>11.5</v>
      </c>
      <c r="AD181" s="40">
        <v>443</v>
      </c>
      <c r="AE181" s="128">
        <v>63.5</v>
      </c>
      <c r="AF181" s="40">
        <v>3.2</v>
      </c>
      <c r="AG181" s="41">
        <v>464</v>
      </c>
      <c r="AH181" s="40">
        <v>97.7</v>
      </c>
      <c r="AI181" s="41">
        <v>11.3</v>
      </c>
      <c r="AJ181" s="40">
        <v>77200</v>
      </c>
      <c r="AK181" s="40">
        <v>92.2</v>
      </c>
      <c r="AL181" s="40">
        <v>314</v>
      </c>
      <c r="AM181" s="40">
        <v>86</v>
      </c>
      <c r="AN181" s="40">
        <v>229</v>
      </c>
      <c r="AO181" s="146" t="s">
        <v>366</v>
      </c>
      <c r="AP181" s="39" t="s">
        <v>69</v>
      </c>
      <c r="AQ181" s="40">
        <f t="shared" si="37"/>
        <v>135.63652133551642</v>
      </c>
      <c r="AR181" s="41">
        <f t="shared" si="47"/>
        <v>26.424999999999997</v>
      </c>
      <c r="AS181" s="37">
        <f t="shared" si="38"/>
        <v>400.0617870502752</v>
      </c>
      <c r="AT181" s="42">
        <f t="shared" si="39"/>
        <v>23200</v>
      </c>
      <c r="AU181" s="31">
        <f t="shared" si="40"/>
        <v>14490</v>
      </c>
      <c r="AV181" s="31">
        <f t="shared" si="41"/>
        <v>32.939363704358207</v>
      </c>
      <c r="AW181" s="37">
        <f t="shared" si="42"/>
        <v>16652.805233089035</v>
      </c>
      <c r="AX181" s="31">
        <f t="shared" si="43"/>
        <v>135.63652133551642</v>
      </c>
      <c r="AY181" s="42">
        <f t="shared" si="44"/>
        <v>27153.926634076528</v>
      </c>
      <c r="AZ181" s="42">
        <f t="shared" si="48"/>
        <v>6894261.3664988605</v>
      </c>
      <c r="BA181" s="42">
        <f t="shared" si="45"/>
        <v>25773.414633908389</v>
      </c>
      <c r="BB181" s="42">
        <f t="shared" si="46"/>
        <v>4885</v>
      </c>
      <c r="BC181" s="38">
        <f t="shared" si="49"/>
        <v>25.639999999999997</v>
      </c>
      <c r="BD181" s="38">
        <f t="shared" si="50"/>
        <v>42.380165289256198</v>
      </c>
      <c r="BE181" s="38">
        <f t="shared" si="51"/>
        <v>16.576999999999998</v>
      </c>
      <c r="BH181" s="34">
        <v>45.3</v>
      </c>
      <c r="BI181" s="43">
        <v>3.68</v>
      </c>
    </row>
    <row r="182" spans="14:61">
      <c r="N182" s="30" t="s">
        <v>383</v>
      </c>
      <c r="O182" s="40">
        <v>37.799999999999997</v>
      </c>
      <c r="P182" s="128">
        <v>27.6</v>
      </c>
      <c r="Q182" s="128">
        <v>0.61</v>
      </c>
      <c r="R182" s="128">
        <v>10</v>
      </c>
      <c r="S182" s="128">
        <v>1.1000000000000001</v>
      </c>
      <c r="T182" s="40">
        <v>1.7</v>
      </c>
      <c r="U182" s="132">
        <v>1.125</v>
      </c>
      <c r="V182" s="40">
        <v>4.55</v>
      </c>
      <c r="W182" s="84" t="s">
        <v>127</v>
      </c>
      <c r="X182" s="35">
        <f t="shared" si="35"/>
        <v>41.639344262295083</v>
      </c>
      <c r="Y182" s="36">
        <f t="shared" si="36"/>
        <v>2.6583202716502514</v>
      </c>
      <c r="Z182" s="34">
        <v>2.5099999999999998</v>
      </c>
      <c r="AA182" s="40">
        <v>4760</v>
      </c>
      <c r="AB182" s="128">
        <v>345</v>
      </c>
      <c r="AC182" s="40">
        <v>11.2</v>
      </c>
      <c r="AD182" s="40">
        <v>184</v>
      </c>
      <c r="AE182" s="128">
        <v>36.799999999999997</v>
      </c>
      <c r="AF182" s="40">
        <v>2.21</v>
      </c>
      <c r="AG182" s="41">
        <v>395</v>
      </c>
      <c r="AH182" s="40">
        <v>57.6</v>
      </c>
      <c r="AI182" s="41">
        <v>11.1</v>
      </c>
      <c r="AJ182" s="40">
        <v>32400</v>
      </c>
      <c r="AK182" s="40">
        <v>66.400000000000006</v>
      </c>
      <c r="AL182" s="40">
        <v>183</v>
      </c>
      <c r="AM182" s="40">
        <v>68.599999999999994</v>
      </c>
      <c r="AN182" s="40">
        <v>195</v>
      </c>
      <c r="AO182" s="146" t="s">
        <v>366</v>
      </c>
      <c r="AP182" s="39" t="s">
        <v>69</v>
      </c>
      <c r="AQ182" s="40">
        <f t="shared" si="37"/>
        <v>93.673972547341037</v>
      </c>
      <c r="AR182" s="41">
        <f t="shared" si="47"/>
        <v>26.5</v>
      </c>
      <c r="AS182" s="37">
        <f t="shared" si="38"/>
        <v>290.6326665526318</v>
      </c>
      <c r="AT182" s="42">
        <f t="shared" si="39"/>
        <v>19750</v>
      </c>
      <c r="AU182" s="31">
        <f t="shared" si="40"/>
        <v>12075</v>
      </c>
      <c r="AV182" s="31">
        <f t="shared" si="41"/>
        <v>38.967561390277254</v>
      </c>
      <c r="AW182" s="37">
        <f t="shared" si="42"/>
        <v>8331.4331371228382</v>
      </c>
      <c r="AX182" s="31">
        <f t="shared" si="43"/>
        <v>93.673972547341037</v>
      </c>
      <c r="AY182" s="42">
        <f t="shared" si="44"/>
        <v>22792.352318221332</v>
      </c>
      <c r="AZ182" s="42">
        <f t="shared" si="48"/>
        <v>2874344.4323073793</v>
      </c>
      <c r="BA182" s="42">
        <f t="shared" si="45"/>
        <v>22017.618520694246</v>
      </c>
      <c r="BB182" s="42">
        <f t="shared" si="46"/>
        <v>2880</v>
      </c>
      <c r="BC182" s="38">
        <f t="shared" si="49"/>
        <v>25.900000000000002</v>
      </c>
      <c r="BD182" s="38">
        <f t="shared" si="50"/>
        <v>42.459016393442624</v>
      </c>
      <c r="BE182" s="38">
        <f t="shared" si="51"/>
        <v>16.836000000000002</v>
      </c>
      <c r="BH182" s="34">
        <v>45.3</v>
      </c>
      <c r="BI182" s="43">
        <v>2.59</v>
      </c>
    </row>
    <row r="183" spans="14:61">
      <c r="N183" s="30" t="s">
        <v>384</v>
      </c>
      <c r="O183" s="40">
        <v>33.5</v>
      </c>
      <c r="P183" s="128">
        <v>27.3</v>
      </c>
      <c r="Q183" s="128">
        <v>0.56999999999999995</v>
      </c>
      <c r="R183" s="128">
        <v>10.1</v>
      </c>
      <c r="S183" s="128">
        <v>0.93</v>
      </c>
      <c r="T183" s="40">
        <v>1.53</v>
      </c>
      <c r="U183" s="132">
        <v>1.125</v>
      </c>
      <c r="V183" s="40">
        <v>5.41</v>
      </c>
      <c r="W183" s="84" t="s">
        <v>127</v>
      </c>
      <c r="X183" s="35">
        <f t="shared" si="35"/>
        <v>44.631578947368425</v>
      </c>
      <c r="Y183" s="36">
        <f t="shared" si="36"/>
        <v>2.6479088739385035</v>
      </c>
      <c r="Z183" s="34">
        <v>2.91</v>
      </c>
      <c r="AA183" s="40">
        <v>4080</v>
      </c>
      <c r="AB183" s="128">
        <v>299</v>
      </c>
      <c r="AC183" s="40">
        <v>11</v>
      </c>
      <c r="AD183" s="40">
        <v>159</v>
      </c>
      <c r="AE183" s="128">
        <v>31.5</v>
      </c>
      <c r="AF183" s="40">
        <v>2.1800000000000002</v>
      </c>
      <c r="AG183" s="41">
        <v>343</v>
      </c>
      <c r="AH183" s="40">
        <v>49.3</v>
      </c>
      <c r="AI183" s="41">
        <v>7.33</v>
      </c>
      <c r="AJ183" s="40">
        <v>27600</v>
      </c>
      <c r="AK183" s="40">
        <v>66.400000000000006</v>
      </c>
      <c r="AL183" s="40">
        <v>155</v>
      </c>
      <c r="AM183" s="40">
        <v>58.2</v>
      </c>
      <c r="AN183" s="40">
        <v>170</v>
      </c>
      <c r="AO183" s="146" t="s">
        <v>366</v>
      </c>
      <c r="AP183" s="39" t="s">
        <v>69</v>
      </c>
      <c r="AQ183" s="40">
        <f t="shared" si="37"/>
        <v>92.402380159820567</v>
      </c>
      <c r="AR183" s="41">
        <f t="shared" si="47"/>
        <v>26.37</v>
      </c>
      <c r="AS183" s="37">
        <f t="shared" si="38"/>
        <v>277.3425416523549</v>
      </c>
      <c r="AT183" s="42">
        <f t="shared" si="39"/>
        <v>17150</v>
      </c>
      <c r="AU183" s="31">
        <f t="shared" si="40"/>
        <v>10465</v>
      </c>
      <c r="AV183" s="31">
        <f t="shared" si="41"/>
        <v>36.146826876594133</v>
      </c>
      <c r="AW183" s="37">
        <f t="shared" si="42"/>
        <v>8263.2329697297901</v>
      </c>
      <c r="AX183" s="31">
        <f t="shared" si="43"/>
        <v>92.402380159820567</v>
      </c>
      <c r="AY183" s="42">
        <f t="shared" si="44"/>
        <v>19926.1623393474</v>
      </c>
      <c r="AZ183" s="42">
        <f t="shared" si="48"/>
        <v>2470706.6579492074</v>
      </c>
      <c r="BA183" s="42">
        <f t="shared" si="45"/>
        <v>19125.117890663329</v>
      </c>
      <c r="BB183" s="42">
        <f t="shared" si="46"/>
        <v>2465</v>
      </c>
      <c r="BC183" s="38">
        <f t="shared" si="49"/>
        <v>25.77</v>
      </c>
      <c r="BD183" s="38">
        <f t="shared" si="50"/>
        <v>45.21052631578948</v>
      </c>
      <c r="BE183" s="38">
        <f t="shared" si="51"/>
        <v>15.561</v>
      </c>
      <c r="BH183" s="34">
        <v>47.9</v>
      </c>
      <c r="BI183" s="43">
        <v>2.58</v>
      </c>
    </row>
    <row r="184" spans="14:61">
      <c r="N184" s="30" t="s">
        <v>385</v>
      </c>
      <c r="O184" s="40">
        <v>30</v>
      </c>
      <c r="P184" s="128">
        <v>27.1</v>
      </c>
      <c r="Q184" s="128">
        <v>0.51500000000000001</v>
      </c>
      <c r="R184" s="128">
        <v>10</v>
      </c>
      <c r="S184" s="128">
        <v>0.83</v>
      </c>
      <c r="T184" s="40">
        <v>1.43</v>
      </c>
      <c r="U184" s="132">
        <v>1.0625</v>
      </c>
      <c r="V184" s="40">
        <v>6.03</v>
      </c>
      <c r="W184" s="84" t="s">
        <v>127</v>
      </c>
      <c r="X184" s="35">
        <f t="shared" si="35"/>
        <v>49.398058252427184</v>
      </c>
      <c r="Y184" s="36">
        <f t="shared" si="36"/>
        <v>2.6149705851211196</v>
      </c>
      <c r="Z184" s="34">
        <v>3.26</v>
      </c>
      <c r="AA184" s="40">
        <v>3620</v>
      </c>
      <c r="AB184" s="128">
        <v>267</v>
      </c>
      <c r="AC184" s="40">
        <v>11</v>
      </c>
      <c r="AD184" s="40">
        <v>139</v>
      </c>
      <c r="AE184" s="128">
        <v>27.8</v>
      </c>
      <c r="AF184" s="40">
        <v>2.15</v>
      </c>
      <c r="AG184" s="41">
        <v>305</v>
      </c>
      <c r="AH184" s="40">
        <v>43.4</v>
      </c>
      <c r="AI184" s="41">
        <v>5.28</v>
      </c>
      <c r="AJ184" s="40">
        <v>24000</v>
      </c>
      <c r="AK184" s="40">
        <v>65.7</v>
      </c>
      <c r="AL184" s="40">
        <v>137</v>
      </c>
      <c r="AM184" s="40">
        <v>51.8</v>
      </c>
      <c r="AN184" s="40">
        <v>151</v>
      </c>
      <c r="AO184" s="146" t="s">
        <v>366</v>
      </c>
      <c r="AP184" s="39" t="s">
        <v>69</v>
      </c>
      <c r="AQ184" s="40">
        <f t="shared" si="37"/>
        <v>91.130787772300096</v>
      </c>
      <c r="AR184" s="41">
        <f t="shared" si="47"/>
        <v>26.270000000000003</v>
      </c>
      <c r="AS184" s="37">
        <f t="shared" si="38"/>
        <v>266.53744855278825</v>
      </c>
      <c r="AT184" s="42">
        <f t="shared" si="39"/>
        <v>15250</v>
      </c>
      <c r="AU184" s="31">
        <f t="shared" si="40"/>
        <v>9345</v>
      </c>
      <c r="AV184" s="31">
        <f t="shared" si="41"/>
        <v>33.664628091801966</v>
      </c>
      <c r="AW184" s="37">
        <f t="shared" si="42"/>
        <v>8057.2156261965401</v>
      </c>
      <c r="AX184" s="31">
        <f t="shared" si="43"/>
        <v>91.130787772300096</v>
      </c>
      <c r="AY184" s="42">
        <f t="shared" si="44"/>
        <v>17792.715879835305</v>
      </c>
      <c r="AZ184" s="42">
        <f t="shared" si="48"/>
        <v>2151276.5721944761</v>
      </c>
      <c r="BA184" s="42">
        <f t="shared" si="45"/>
        <v>16994.662848820786</v>
      </c>
      <c r="BB184" s="42">
        <f t="shared" si="46"/>
        <v>2170</v>
      </c>
      <c r="BC184" s="38">
        <f t="shared" si="49"/>
        <v>25.67</v>
      </c>
      <c r="BD184" s="38">
        <f t="shared" si="50"/>
        <v>49.844660194174757</v>
      </c>
      <c r="BE184" s="38">
        <f t="shared" si="51"/>
        <v>13.956500000000002</v>
      </c>
      <c r="BH184" s="34">
        <v>52.6</v>
      </c>
      <c r="BI184" s="43">
        <v>2.56</v>
      </c>
    </row>
    <row r="185" spans="14:61">
      <c r="N185" s="30" t="s">
        <v>386</v>
      </c>
      <c r="O185" s="40">
        <v>27.7</v>
      </c>
      <c r="P185" s="128">
        <v>26.9</v>
      </c>
      <c r="Q185" s="128">
        <v>0.49</v>
      </c>
      <c r="R185" s="128">
        <v>9.99</v>
      </c>
      <c r="S185" s="128">
        <v>0.745</v>
      </c>
      <c r="T185" s="40">
        <v>1.34</v>
      </c>
      <c r="U185" s="132">
        <v>1.0625</v>
      </c>
      <c r="V185" s="40">
        <v>6.7</v>
      </c>
      <c r="W185" s="84" t="s">
        <v>127</v>
      </c>
      <c r="X185" s="35">
        <f t="shared" si="35"/>
        <v>51.857142857142861</v>
      </c>
      <c r="Y185" s="36">
        <f t="shared" si="36"/>
        <v>2.5832716042007582</v>
      </c>
      <c r="Z185" s="34">
        <v>3.62</v>
      </c>
      <c r="AA185" s="40">
        <v>3270</v>
      </c>
      <c r="AB185" s="128">
        <v>243</v>
      </c>
      <c r="AC185" s="40">
        <v>10.9</v>
      </c>
      <c r="AD185" s="40">
        <v>124</v>
      </c>
      <c r="AE185" s="128">
        <v>24.8</v>
      </c>
      <c r="AF185" s="40">
        <v>2.12</v>
      </c>
      <c r="AG185" s="41">
        <v>278</v>
      </c>
      <c r="AH185" s="40">
        <v>38.799999999999997</v>
      </c>
      <c r="AI185" s="41">
        <v>4.03</v>
      </c>
      <c r="AJ185" s="40">
        <v>21200</v>
      </c>
      <c r="AK185" s="40">
        <v>65.400000000000006</v>
      </c>
      <c r="AL185" s="40">
        <v>122</v>
      </c>
      <c r="AM185" s="40">
        <v>46.3</v>
      </c>
      <c r="AN185" s="40">
        <v>137</v>
      </c>
      <c r="AO185" s="146" t="s">
        <v>366</v>
      </c>
      <c r="AP185" s="39" t="s">
        <v>69</v>
      </c>
      <c r="AQ185" s="40">
        <f t="shared" si="37"/>
        <v>89.859195384779639</v>
      </c>
      <c r="AR185" s="41">
        <f t="shared" si="47"/>
        <v>26.154999999999998</v>
      </c>
      <c r="AS185" s="37">
        <f t="shared" si="38"/>
        <v>258.48890202209049</v>
      </c>
      <c r="AT185" s="42">
        <f t="shared" si="39"/>
        <v>13900</v>
      </c>
      <c r="AU185" s="31">
        <f t="shared" si="40"/>
        <v>8505</v>
      </c>
      <c r="AV185" s="31">
        <f t="shared" si="41"/>
        <v>31.993176692192073</v>
      </c>
      <c r="AW185" s="37">
        <f t="shared" si="42"/>
        <v>7861.9363568858389</v>
      </c>
      <c r="AX185" s="31">
        <f t="shared" si="43"/>
        <v>89.859195384779639</v>
      </c>
      <c r="AY185" s="42">
        <f t="shared" si="44"/>
        <v>16275.787558965269</v>
      </c>
      <c r="AZ185" s="42">
        <f t="shared" si="48"/>
        <v>1910450.5347232588</v>
      </c>
      <c r="BA185" s="42">
        <f t="shared" si="45"/>
        <v>15493.980706077586</v>
      </c>
      <c r="BB185" s="42">
        <f t="shared" si="46"/>
        <v>1939.9999999999998</v>
      </c>
      <c r="BC185" s="38">
        <f t="shared" si="49"/>
        <v>25.56</v>
      </c>
      <c r="BD185" s="38">
        <f t="shared" si="50"/>
        <v>52.163265306122447</v>
      </c>
      <c r="BE185" s="38">
        <f t="shared" si="51"/>
        <v>13.180999999999999</v>
      </c>
      <c r="BH185" s="34">
        <v>54.9</v>
      </c>
      <c r="BI185" s="43">
        <v>2.5299999999999998</v>
      </c>
    </row>
    <row r="186" spans="14:61">
      <c r="N186" s="30" t="s">
        <v>387</v>
      </c>
      <c r="O186" s="40">
        <v>24.8</v>
      </c>
      <c r="P186" s="128">
        <v>26.7</v>
      </c>
      <c r="Q186" s="128">
        <v>0.46</v>
      </c>
      <c r="R186" s="128">
        <v>9.9600000000000009</v>
      </c>
      <c r="S186" s="128">
        <v>0.64</v>
      </c>
      <c r="T186" s="40">
        <v>1.24</v>
      </c>
      <c r="U186" s="132">
        <v>1.0625</v>
      </c>
      <c r="V186" s="40">
        <v>7.78</v>
      </c>
      <c r="W186" s="84" t="s">
        <v>127</v>
      </c>
      <c r="X186" s="35">
        <f t="shared" si="35"/>
        <v>55.260869565217384</v>
      </c>
      <c r="Y186" s="36">
        <f t="shared" si="36"/>
        <v>2.5464510883855409</v>
      </c>
      <c r="Z186" s="34">
        <v>4.1900000000000004</v>
      </c>
      <c r="AA186" s="40">
        <v>2850</v>
      </c>
      <c r="AB186" s="128">
        <v>213</v>
      </c>
      <c r="AC186" s="40">
        <v>10.7</v>
      </c>
      <c r="AD186" s="40">
        <v>106</v>
      </c>
      <c r="AE186" s="128">
        <v>21.2</v>
      </c>
      <c r="AF186" s="40">
        <v>2.0699999999999998</v>
      </c>
      <c r="AG186" s="41">
        <v>244</v>
      </c>
      <c r="AH186" s="40">
        <v>33.200000000000003</v>
      </c>
      <c r="AI186" s="41">
        <v>2.81</v>
      </c>
      <c r="AJ186" s="40">
        <v>18000</v>
      </c>
      <c r="AK186" s="40">
        <v>64.900000000000006</v>
      </c>
      <c r="AL186" s="40">
        <v>103</v>
      </c>
      <c r="AM186" s="40">
        <v>39.6</v>
      </c>
      <c r="AN186" s="40">
        <v>120</v>
      </c>
      <c r="AO186" s="146" t="s">
        <v>366</v>
      </c>
      <c r="AP186" s="39" t="s">
        <v>69</v>
      </c>
      <c r="AQ186" s="40">
        <f t="shared" si="37"/>
        <v>87.739874738912178</v>
      </c>
      <c r="AR186" s="41">
        <f t="shared" si="47"/>
        <v>26.06</v>
      </c>
      <c r="AS186" s="37">
        <f t="shared" si="38"/>
        <v>249.74871119700617</v>
      </c>
      <c r="AT186" s="42">
        <f t="shared" si="39"/>
        <v>12200</v>
      </c>
      <c r="AU186" s="31">
        <f t="shared" si="40"/>
        <v>7455</v>
      </c>
      <c r="AV186" s="31">
        <f t="shared" si="41"/>
        <v>29.288525883755518</v>
      </c>
      <c r="AW186" s="37">
        <f t="shared" si="42"/>
        <v>7638.187542439081</v>
      </c>
      <c r="AX186" s="31">
        <f t="shared" si="43"/>
        <v>87.739874738912178</v>
      </c>
      <c r="AY186" s="42">
        <f t="shared" si="44"/>
        <v>14312.870588541509</v>
      </c>
      <c r="AZ186" s="42">
        <f t="shared" si="48"/>
        <v>1626933.9465395242</v>
      </c>
      <c r="BA186" s="42">
        <f t="shared" si="45"/>
        <v>13601.934837875466</v>
      </c>
      <c r="BB186" s="42">
        <f t="shared" si="46"/>
        <v>1660.0000000000002</v>
      </c>
      <c r="BC186" s="38">
        <f t="shared" si="49"/>
        <v>25.46</v>
      </c>
      <c r="BD186" s="38">
        <f t="shared" si="50"/>
        <v>55.347826086956523</v>
      </c>
      <c r="BE186" s="38">
        <f t="shared" si="51"/>
        <v>12.282</v>
      </c>
      <c r="BH186" s="34">
        <v>58.1</v>
      </c>
      <c r="BI186" s="43">
        <v>2.4900000000000002</v>
      </c>
    </row>
    <row r="187" spans="14:61">
      <c r="N187" s="123" t="s">
        <v>388</v>
      </c>
      <c r="O187" s="80">
        <v>144</v>
      </c>
      <c r="P187" s="124">
        <v>29.65</v>
      </c>
      <c r="Q187" s="124">
        <v>1.97</v>
      </c>
      <c r="R187" s="133">
        <v>14.115</v>
      </c>
      <c r="S187" s="124">
        <v>3.54</v>
      </c>
      <c r="T187" s="80">
        <v>4.3125</v>
      </c>
      <c r="U187" s="80">
        <v>1.5625</v>
      </c>
      <c r="V187" s="80">
        <v>2</v>
      </c>
      <c r="W187" s="125" t="s">
        <v>127</v>
      </c>
      <c r="X187" s="35">
        <f t="shared" si="35"/>
        <v>11.456852791878173</v>
      </c>
      <c r="Y187" s="36">
        <f t="shared" si="36"/>
        <v>4.1110410986426151</v>
      </c>
      <c r="Z187" s="80">
        <v>0.59</v>
      </c>
      <c r="AA187" s="80">
        <v>19100</v>
      </c>
      <c r="AB187" s="124">
        <v>1290</v>
      </c>
      <c r="AC187" s="80">
        <v>11.5</v>
      </c>
      <c r="AD187" s="80">
        <v>1670</v>
      </c>
      <c r="AE187" s="124">
        <v>237</v>
      </c>
      <c r="AF187" s="80">
        <v>3.41</v>
      </c>
      <c r="AG187" s="81">
        <v>1550</v>
      </c>
      <c r="AH187" s="80">
        <v>375</v>
      </c>
      <c r="AI187" s="81">
        <v>456</v>
      </c>
      <c r="AJ187" s="80">
        <v>283000</v>
      </c>
      <c r="AK187" s="80">
        <v>92.1</v>
      </c>
      <c r="AL187" s="80">
        <v>1150</v>
      </c>
      <c r="AM187" s="80">
        <v>281</v>
      </c>
      <c r="AN187" s="80">
        <v>774</v>
      </c>
      <c r="AO187" s="125" t="s">
        <v>389</v>
      </c>
      <c r="AP187" s="126" t="s">
        <v>69</v>
      </c>
      <c r="AQ187" s="40">
        <f t="shared" si="37"/>
        <v>144.5376680481597</v>
      </c>
      <c r="AR187" s="41">
        <f t="shared" si="47"/>
        <v>26.11</v>
      </c>
      <c r="AS187" s="37">
        <f t="shared" si="38"/>
        <v>1100.2080955410904</v>
      </c>
      <c r="AT187" s="42">
        <f t="shared" si="39"/>
        <v>77500</v>
      </c>
      <c r="AU187" s="31">
        <f t="shared" si="40"/>
        <v>45150</v>
      </c>
      <c r="AV187" s="31">
        <f t="shared" si="41"/>
        <v>33.850581821251659</v>
      </c>
      <c r="AW187" s="37">
        <f t="shared" si="42"/>
        <v>20043.739908471685</v>
      </c>
      <c r="AX187" s="31">
        <f t="shared" si="43"/>
        <v>144.5376680481597</v>
      </c>
      <c r="AY187" s="42">
        <f t="shared" si="44"/>
        <v>81864.615082105622</v>
      </c>
      <c r="AZ187" s="42">
        <f t="shared" si="48"/>
        <v>25856424.481928475</v>
      </c>
      <c r="BA187" s="42">
        <f t="shared" si="45"/>
        <v>87057.97513282852</v>
      </c>
      <c r="BB187" s="42">
        <f t="shared" si="46"/>
        <v>18750</v>
      </c>
      <c r="BC187" s="38">
        <f t="shared" si="49"/>
        <v>25.337499999999999</v>
      </c>
      <c r="BD187" s="38">
        <f t="shared" si="50"/>
        <v>12.861675126903553</v>
      </c>
      <c r="BE187" s="38">
        <f t="shared" si="51"/>
        <v>58.410499999999999</v>
      </c>
      <c r="BH187" s="80">
        <v>15.1</v>
      </c>
      <c r="BI187" s="81">
        <v>3.8</v>
      </c>
    </row>
    <row r="188" spans="14:61">
      <c r="N188" s="123" t="s">
        <v>390</v>
      </c>
      <c r="O188" s="80">
        <v>132</v>
      </c>
      <c r="P188" s="124">
        <v>29.09</v>
      </c>
      <c r="Q188" s="124">
        <v>1.81</v>
      </c>
      <c r="R188" s="133">
        <v>13.955</v>
      </c>
      <c r="S188" s="124">
        <v>3.27</v>
      </c>
      <c r="T188" s="80">
        <v>4.0625</v>
      </c>
      <c r="U188" s="80">
        <v>1.5</v>
      </c>
      <c r="V188" s="80">
        <v>2.1</v>
      </c>
      <c r="W188" s="125" t="s">
        <v>127</v>
      </c>
      <c r="X188" s="35">
        <f t="shared" si="35"/>
        <v>12.458563535911603</v>
      </c>
      <c r="Y188" s="36">
        <f t="shared" si="36"/>
        <v>4.0547429229163434</v>
      </c>
      <c r="Z188" s="80">
        <v>0.64</v>
      </c>
      <c r="AA188" s="80">
        <v>17100</v>
      </c>
      <c r="AB188" s="124">
        <v>1170</v>
      </c>
      <c r="AC188" s="80">
        <v>11.4</v>
      </c>
      <c r="AD188" s="80">
        <v>1490</v>
      </c>
      <c r="AE188" s="124">
        <v>214</v>
      </c>
      <c r="AF188" s="80">
        <v>3.36</v>
      </c>
      <c r="AG188" s="81">
        <v>1410</v>
      </c>
      <c r="AH188" s="80">
        <v>337</v>
      </c>
      <c r="AI188" s="81">
        <v>357</v>
      </c>
      <c r="AJ188" s="80">
        <v>247000</v>
      </c>
      <c r="AK188" s="80">
        <v>90.1</v>
      </c>
      <c r="AL188" s="80">
        <v>1030</v>
      </c>
      <c r="AM188" s="80">
        <v>257</v>
      </c>
      <c r="AN188" s="80">
        <v>703</v>
      </c>
      <c r="AO188" s="125" t="s">
        <v>389</v>
      </c>
      <c r="AP188" s="126" t="s">
        <v>69</v>
      </c>
      <c r="AQ188" s="40">
        <f t="shared" si="37"/>
        <v>142.41834740229223</v>
      </c>
      <c r="AR188" s="41">
        <f t="shared" si="47"/>
        <v>25.82</v>
      </c>
      <c r="AS188" s="37">
        <f t="shared" si="38"/>
        <v>1015.8653617535396</v>
      </c>
      <c r="AT188" s="42">
        <f t="shared" si="39"/>
        <v>70500</v>
      </c>
      <c r="AU188" s="31">
        <f t="shared" si="40"/>
        <v>40950</v>
      </c>
      <c r="AV188" s="31">
        <f t="shared" si="41"/>
        <v>33.831474049915045</v>
      </c>
      <c r="AW188" s="37">
        <f t="shared" si="42"/>
        <v>19483.522135544841</v>
      </c>
      <c r="AX188" s="31">
        <f t="shared" si="43"/>
        <v>142.41834740229223</v>
      </c>
      <c r="AY188" s="42">
        <f t="shared" si="44"/>
        <v>74790.451629193762</v>
      </c>
      <c r="AZ188" s="42">
        <f t="shared" si="48"/>
        <v>22795720.898587465</v>
      </c>
      <c r="BA188" s="42">
        <f t="shared" si="45"/>
        <v>79230.700623650162</v>
      </c>
      <c r="BB188" s="42">
        <f t="shared" si="46"/>
        <v>16850</v>
      </c>
      <c r="BC188" s="38">
        <f t="shared" si="49"/>
        <v>25.0275</v>
      </c>
      <c r="BD188" s="38">
        <f t="shared" si="50"/>
        <v>13.827348066298342</v>
      </c>
      <c r="BE188" s="38">
        <f t="shared" si="51"/>
        <v>52.652900000000002</v>
      </c>
      <c r="BH188" s="80">
        <v>16.100000000000001</v>
      </c>
      <c r="BI188" s="81">
        <v>3.76</v>
      </c>
    </row>
    <row r="189" spans="14:61">
      <c r="N189" s="123" t="s">
        <v>391</v>
      </c>
      <c r="O189" s="80">
        <v>119</v>
      </c>
      <c r="P189" s="124">
        <v>28.54</v>
      </c>
      <c r="Q189" s="124">
        <v>1.65</v>
      </c>
      <c r="R189" s="124">
        <v>13.8</v>
      </c>
      <c r="S189" s="124">
        <v>2.99</v>
      </c>
      <c r="T189" s="80">
        <v>3.75</v>
      </c>
      <c r="U189" s="80">
        <v>1.375</v>
      </c>
      <c r="V189" s="80">
        <v>2.2999999999999998</v>
      </c>
      <c r="W189" s="125" t="s">
        <v>127</v>
      </c>
      <c r="X189" s="35">
        <f t="shared" si="35"/>
        <v>13.672727272727272</v>
      </c>
      <c r="Y189" s="36">
        <f t="shared" si="36"/>
        <v>3.9885449183928885</v>
      </c>
      <c r="Z189" s="80">
        <v>0.69</v>
      </c>
      <c r="AA189" s="80">
        <v>15100</v>
      </c>
      <c r="AB189" s="124">
        <v>1060</v>
      </c>
      <c r="AC189" s="80">
        <v>11.3</v>
      </c>
      <c r="AD189" s="80">
        <v>1320</v>
      </c>
      <c r="AE189" s="124">
        <v>191</v>
      </c>
      <c r="AF189" s="80">
        <v>3.33</v>
      </c>
      <c r="AG189" s="81">
        <v>1250</v>
      </c>
      <c r="AH189" s="80">
        <v>300</v>
      </c>
      <c r="AI189" s="81">
        <v>271</v>
      </c>
      <c r="AJ189" s="80">
        <v>214000</v>
      </c>
      <c r="AK189" s="80">
        <v>88.1</v>
      </c>
      <c r="AL189" s="80">
        <v>909</v>
      </c>
      <c r="AM189" s="80">
        <v>233</v>
      </c>
      <c r="AN189" s="80">
        <v>626</v>
      </c>
      <c r="AO189" s="125" t="s">
        <v>389</v>
      </c>
      <c r="AP189" s="126" t="s">
        <v>69</v>
      </c>
      <c r="AQ189" s="40">
        <f t="shared" si="37"/>
        <v>141.14675501477177</v>
      </c>
      <c r="AR189" s="41">
        <f t="shared" si="47"/>
        <v>25.549999999999997</v>
      </c>
      <c r="AS189" s="37">
        <f t="shared" si="38"/>
        <v>922.5337052694623</v>
      </c>
      <c r="AT189" s="42">
        <f t="shared" si="39"/>
        <v>62500</v>
      </c>
      <c r="AU189" s="31">
        <f t="shared" si="40"/>
        <v>37100</v>
      </c>
      <c r="AV189" s="31">
        <f t="shared" si="41"/>
        <v>32.506301764728669</v>
      </c>
      <c r="AW189" s="37">
        <f t="shared" si="42"/>
        <v>18836.679087161232</v>
      </c>
      <c r="AX189" s="31">
        <f t="shared" si="43"/>
        <v>141.14675501477177</v>
      </c>
      <c r="AY189" s="42">
        <f t="shared" si="44"/>
        <v>66581.060704092641</v>
      </c>
      <c r="AZ189" s="42">
        <f t="shared" si="48"/>
        <v>19966879.832390904</v>
      </c>
      <c r="BA189" s="42">
        <f t="shared" si="45"/>
        <v>70004.561618975102</v>
      </c>
      <c r="BB189" s="42">
        <f t="shared" si="46"/>
        <v>15000</v>
      </c>
      <c r="BC189" s="38">
        <f t="shared" si="49"/>
        <v>24.79</v>
      </c>
      <c r="BD189" s="38">
        <f t="shared" si="50"/>
        <v>15.024242424242425</v>
      </c>
      <c r="BE189" s="38">
        <f t="shared" si="51"/>
        <v>47.090999999999994</v>
      </c>
      <c r="BH189" s="80">
        <v>17.3</v>
      </c>
      <c r="BI189" s="81">
        <v>3.71</v>
      </c>
    </row>
    <row r="190" spans="14:61">
      <c r="N190" s="30" t="s">
        <v>392</v>
      </c>
      <c r="O190" s="40">
        <v>109</v>
      </c>
      <c r="P190" s="128">
        <v>28</v>
      </c>
      <c r="Q190" s="128">
        <v>1.52</v>
      </c>
      <c r="R190" s="128">
        <v>13.7</v>
      </c>
      <c r="S190" s="128">
        <v>2.72</v>
      </c>
      <c r="T190" s="40">
        <v>3.22</v>
      </c>
      <c r="U190" s="132">
        <v>1.5625</v>
      </c>
      <c r="V190" s="40">
        <v>2.5099999999999998</v>
      </c>
      <c r="W190" s="84" t="s">
        <v>127</v>
      </c>
      <c r="X190" s="35">
        <f t="shared" si="35"/>
        <v>14.842105263157894</v>
      </c>
      <c r="Y190" s="36">
        <f t="shared" si="36"/>
        <v>3.9142319963451477</v>
      </c>
      <c r="Z190" s="34">
        <v>0.75</v>
      </c>
      <c r="AA190" s="40">
        <v>13400</v>
      </c>
      <c r="AB190" s="128">
        <v>957</v>
      </c>
      <c r="AC190" s="40">
        <v>11.1</v>
      </c>
      <c r="AD190" s="40">
        <v>1160</v>
      </c>
      <c r="AE190" s="128">
        <v>170</v>
      </c>
      <c r="AF190" s="40">
        <v>3.27</v>
      </c>
      <c r="AG190" s="41">
        <v>1130</v>
      </c>
      <c r="AH190" s="40">
        <v>267</v>
      </c>
      <c r="AI190" s="41">
        <v>201</v>
      </c>
      <c r="AJ190" s="40">
        <v>185000</v>
      </c>
      <c r="AK190" s="40">
        <v>86.3</v>
      </c>
      <c r="AL190" s="40">
        <v>802</v>
      </c>
      <c r="AM190" s="40">
        <v>209</v>
      </c>
      <c r="AN190" s="40">
        <v>566</v>
      </c>
      <c r="AO190" s="130" t="s">
        <v>393</v>
      </c>
      <c r="AP190" s="39" t="s">
        <v>69</v>
      </c>
      <c r="AQ190" s="40">
        <f t="shared" si="37"/>
        <v>138.60357023973086</v>
      </c>
      <c r="AR190" s="41">
        <f t="shared" si="47"/>
        <v>25.28</v>
      </c>
      <c r="AS190" s="37">
        <f t="shared" si="38"/>
        <v>829.1621396649075</v>
      </c>
      <c r="AT190" s="42">
        <f t="shared" si="39"/>
        <v>56500</v>
      </c>
      <c r="AU190" s="31">
        <f t="shared" si="40"/>
        <v>33495</v>
      </c>
      <c r="AV190" s="31">
        <f t="shared" si="41"/>
        <v>33.313611645062117</v>
      </c>
      <c r="AW190" s="37">
        <f t="shared" si="42"/>
        <v>18126.541949405742</v>
      </c>
      <c r="AX190" s="31">
        <f t="shared" si="43"/>
        <v>138.60357023973086</v>
      </c>
      <c r="AY190" s="42">
        <f t="shared" si="44"/>
        <v>60597.693169922517</v>
      </c>
      <c r="AZ190" s="42">
        <f t="shared" si="48"/>
        <v>17347100.645581294</v>
      </c>
      <c r="BA190" s="42">
        <f t="shared" si="45"/>
        <v>63296.946458445753</v>
      </c>
      <c r="BB190" s="42">
        <f t="shared" si="46"/>
        <v>13350</v>
      </c>
      <c r="BC190" s="38">
        <f t="shared" si="49"/>
        <v>24.78</v>
      </c>
      <c r="BD190" s="38">
        <f t="shared" si="50"/>
        <v>16.30263157894737</v>
      </c>
      <c r="BE190" s="38">
        <f t="shared" si="51"/>
        <v>42.56</v>
      </c>
      <c r="BH190" s="34">
        <v>18.399999999999999</v>
      </c>
      <c r="BI190" s="43">
        <v>3.67</v>
      </c>
    </row>
    <row r="191" spans="14:61">
      <c r="N191" s="30" t="s">
        <v>394</v>
      </c>
      <c r="O191" s="40">
        <v>98.4</v>
      </c>
      <c r="P191" s="128">
        <v>27.5</v>
      </c>
      <c r="Q191" s="128">
        <v>1.38</v>
      </c>
      <c r="R191" s="128">
        <v>13.5</v>
      </c>
      <c r="S191" s="128">
        <v>2.48</v>
      </c>
      <c r="T191" s="40">
        <v>2.98</v>
      </c>
      <c r="U191" s="132">
        <v>1.5</v>
      </c>
      <c r="V191" s="40">
        <v>2.73</v>
      </c>
      <c r="W191" s="84" t="s">
        <v>127</v>
      </c>
      <c r="X191" s="35">
        <f t="shared" si="35"/>
        <v>16.333333333333336</v>
      </c>
      <c r="Y191" s="36">
        <f t="shared" si="36"/>
        <v>3.8618054931167447</v>
      </c>
      <c r="Z191" s="34">
        <v>0.82</v>
      </c>
      <c r="AA191" s="40">
        <v>11900</v>
      </c>
      <c r="AB191" s="128">
        <v>864</v>
      </c>
      <c r="AC191" s="40">
        <v>11</v>
      </c>
      <c r="AD191" s="40">
        <v>1030</v>
      </c>
      <c r="AE191" s="128">
        <v>152</v>
      </c>
      <c r="AF191" s="40">
        <v>3.23</v>
      </c>
      <c r="AG191" s="41">
        <v>1020</v>
      </c>
      <c r="AH191" s="40">
        <v>238</v>
      </c>
      <c r="AI191" s="41">
        <v>152</v>
      </c>
      <c r="AJ191" s="40">
        <v>161000</v>
      </c>
      <c r="AK191" s="40">
        <v>84.6</v>
      </c>
      <c r="AL191" s="40">
        <v>709</v>
      </c>
      <c r="AM191" s="40">
        <v>188</v>
      </c>
      <c r="AN191" s="40">
        <v>508</v>
      </c>
      <c r="AO191" s="130" t="s">
        <v>393</v>
      </c>
      <c r="AP191" s="39" t="s">
        <v>69</v>
      </c>
      <c r="AQ191" s="40">
        <f t="shared" si="37"/>
        <v>136.90811372303688</v>
      </c>
      <c r="AR191" s="41">
        <f t="shared" si="47"/>
        <v>25.02</v>
      </c>
      <c r="AS191" s="37">
        <f t="shared" si="38"/>
        <v>757.31162739933109</v>
      </c>
      <c r="AT191" s="42">
        <f t="shared" si="39"/>
        <v>51000</v>
      </c>
      <c r="AU191" s="31">
        <f t="shared" si="40"/>
        <v>30240</v>
      </c>
      <c r="AV191" s="31">
        <f t="shared" si="41"/>
        <v>33.46209288368388</v>
      </c>
      <c r="AW191" s="37">
        <f t="shared" si="42"/>
        <v>17632.488916968505</v>
      </c>
      <c r="AX191" s="31">
        <f t="shared" si="43"/>
        <v>136.90811372303688</v>
      </c>
      <c r="AY191" s="42">
        <f t="shared" si="44"/>
        <v>55059.223368944746</v>
      </c>
      <c r="AZ191" s="42">
        <f t="shared" si="48"/>
        <v>15234470.424260788</v>
      </c>
      <c r="BA191" s="42">
        <f t="shared" si="45"/>
        <v>57133.64957519382</v>
      </c>
      <c r="BB191" s="42">
        <f t="shared" si="46"/>
        <v>11900</v>
      </c>
      <c r="BC191" s="38">
        <f t="shared" si="49"/>
        <v>24.52</v>
      </c>
      <c r="BD191" s="38">
        <f t="shared" si="50"/>
        <v>17.768115942028988</v>
      </c>
      <c r="BE191" s="38">
        <f t="shared" si="51"/>
        <v>37.949999999999996</v>
      </c>
      <c r="BH191" s="34">
        <v>19.899999999999999</v>
      </c>
      <c r="BI191" s="43">
        <v>3.63</v>
      </c>
    </row>
    <row r="192" spans="14:61">
      <c r="N192" s="30" t="s">
        <v>395</v>
      </c>
      <c r="O192" s="40">
        <v>89.8</v>
      </c>
      <c r="P192" s="128">
        <v>27.1</v>
      </c>
      <c r="Q192" s="128">
        <v>1.26</v>
      </c>
      <c r="R192" s="128">
        <v>13.4</v>
      </c>
      <c r="S192" s="128">
        <v>2.2799999999999998</v>
      </c>
      <c r="T192" s="40">
        <v>2.78</v>
      </c>
      <c r="U192" s="132">
        <v>1.4375</v>
      </c>
      <c r="V192" s="40">
        <v>2.94</v>
      </c>
      <c r="W192" s="84" t="s">
        <v>127</v>
      </c>
      <c r="X192" s="35">
        <f t="shared" si="35"/>
        <v>17.888888888888889</v>
      </c>
      <c r="Y192" s="36">
        <f t="shared" si="36"/>
        <v>3.801939002330232</v>
      </c>
      <c r="Z192" s="34">
        <v>0.89</v>
      </c>
      <c r="AA192" s="40">
        <v>10700</v>
      </c>
      <c r="AB192" s="128">
        <v>789</v>
      </c>
      <c r="AC192" s="40">
        <v>10.9</v>
      </c>
      <c r="AD192" s="40">
        <v>919</v>
      </c>
      <c r="AE192" s="128">
        <v>137</v>
      </c>
      <c r="AF192" s="40">
        <v>3.2</v>
      </c>
      <c r="AG192" s="41">
        <v>922</v>
      </c>
      <c r="AH192" s="40">
        <v>214</v>
      </c>
      <c r="AI192" s="41">
        <v>117</v>
      </c>
      <c r="AJ192" s="40">
        <v>142000</v>
      </c>
      <c r="AK192" s="40">
        <v>83.3</v>
      </c>
      <c r="AL192" s="40">
        <v>636</v>
      </c>
      <c r="AM192" s="40">
        <v>172</v>
      </c>
      <c r="AN192" s="40">
        <v>460</v>
      </c>
      <c r="AO192" s="130" t="s">
        <v>393</v>
      </c>
      <c r="AP192" s="39" t="s">
        <v>69</v>
      </c>
      <c r="AQ192" s="40">
        <f t="shared" si="37"/>
        <v>135.63652133551642</v>
      </c>
      <c r="AR192" s="41">
        <f t="shared" si="47"/>
        <v>24.82</v>
      </c>
      <c r="AS192" s="37">
        <f t="shared" si="38"/>
        <v>692.89218346934388</v>
      </c>
      <c r="AT192" s="42">
        <f t="shared" si="39"/>
        <v>46100</v>
      </c>
      <c r="AU192" s="31">
        <f t="shared" si="40"/>
        <v>27615</v>
      </c>
      <c r="AV192" s="31">
        <f t="shared" si="41"/>
        <v>33.171488880378114</v>
      </c>
      <c r="AW192" s="37">
        <f t="shared" si="42"/>
        <v>17080.690789154407</v>
      </c>
      <c r="AX192" s="31">
        <f t="shared" si="43"/>
        <v>135.63652133551642</v>
      </c>
      <c r="AY192" s="42">
        <f t="shared" si="44"/>
        <v>50081.790132720351</v>
      </c>
      <c r="AZ192" s="42">
        <f t="shared" si="48"/>
        <v>13476665.032642826</v>
      </c>
      <c r="BA192" s="42">
        <f t="shared" si="45"/>
        <v>51561.489036486404</v>
      </c>
      <c r="BB192" s="42">
        <f t="shared" si="46"/>
        <v>10700</v>
      </c>
      <c r="BC192" s="38">
        <f t="shared" si="49"/>
        <v>24.32</v>
      </c>
      <c r="BD192" s="38">
        <f t="shared" si="50"/>
        <v>19.301587301587301</v>
      </c>
      <c r="BE192" s="38">
        <f t="shared" si="51"/>
        <v>34.146000000000001</v>
      </c>
      <c r="BH192" s="34">
        <v>21.5</v>
      </c>
      <c r="BI192" s="43">
        <v>3.6</v>
      </c>
    </row>
    <row r="193" spans="14:61">
      <c r="N193" s="30" t="s">
        <v>396</v>
      </c>
      <c r="O193" s="40">
        <v>82</v>
      </c>
      <c r="P193" s="128">
        <v>26.7</v>
      </c>
      <c r="Q193" s="128">
        <v>1.1599999999999999</v>
      </c>
      <c r="R193" s="128">
        <v>13.3</v>
      </c>
      <c r="S193" s="128">
        <v>2.09</v>
      </c>
      <c r="T193" s="40">
        <v>2.59</v>
      </c>
      <c r="U193" s="132">
        <v>1.4375</v>
      </c>
      <c r="V193" s="40">
        <v>3.18</v>
      </c>
      <c r="W193" s="84" t="s">
        <v>127</v>
      </c>
      <c r="X193" s="35">
        <f t="shared" si="35"/>
        <v>19.413793103448278</v>
      </c>
      <c r="Y193" s="36">
        <f t="shared" si="36"/>
        <v>3.7555928581087481</v>
      </c>
      <c r="Z193" s="34">
        <v>0.96</v>
      </c>
      <c r="AA193" s="40">
        <v>9600</v>
      </c>
      <c r="AB193" s="128">
        <v>718</v>
      </c>
      <c r="AC193" s="40">
        <v>10.8</v>
      </c>
      <c r="AD193" s="40">
        <v>823</v>
      </c>
      <c r="AE193" s="128">
        <v>124</v>
      </c>
      <c r="AF193" s="40">
        <v>3.17</v>
      </c>
      <c r="AG193" s="41">
        <v>835</v>
      </c>
      <c r="AH193" s="40">
        <v>193</v>
      </c>
      <c r="AI193" s="41">
        <v>90.5</v>
      </c>
      <c r="AJ193" s="40">
        <v>125000</v>
      </c>
      <c r="AK193" s="40">
        <v>82</v>
      </c>
      <c r="AL193" s="40">
        <v>570</v>
      </c>
      <c r="AM193" s="40">
        <v>156</v>
      </c>
      <c r="AN193" s="40">
        <v>416</v>
      </c>
      <c r="AO193" s="130" t="s">
        <v>393</v>
      </c>
      <c r="AP193" s="39" t="s">
        <v>69</v>
      </c>
      <c r="AQ193" s="40">
        <f t="shared" si="37"/>
        <v>134.36492894799596</v>
      </c>
      <c r="AR193" s="41">
        <f t="shared" si="47"/>
        <v>24.61</v>
      </c>
      <c r="AS193" s="37">
        <f t="shared" si="38"/>
        <v>640.11124841666924</v>
      </c>
      <c r="AT193" s="42">
        <f t="shared" si="39"/>
        <v>41750</v>
      </c>
      <c r="AU193" s="31">
        <f t="shared" si="40"/>
        <v>25130</v>
      </c>
      <c r="AV193" s="31">
        <f t="shared" si="41"/>
        <v>32.86232516226837</v>
      </c>
      <c r="AW193" s="37">
        <f t="shared" si="42"/>
        <v>16658.915372279895</v>
      </c>
      <c r="AX193" s="31">
        <f t="shared" si="43"/>
        <v>134.36492894799596</v>
      </c>
      <c r="AY193" s="42">
        <f t="shared" si="44"/>
        <v>45652.891712962744</v>
      </c>
      <c r="AZ193" s="42">
        <f t="shared" si="48"/>
        <v>11961101.237296965</v>
      </c>
      <c r="BA193" s="42">
        <f t="shared" si="45"/>
        <v>46660.465122337249</v>
      </c>
      <c r="BB193" s="42">
        <f t="shared" si="46"/>
        <v>9650</v>
      </c>
      <c r="BC193" s="38">
        <f t="shared" si="49"/>
        <v>24.11</v>
      </c>
      <c r="BD193" s="38">
        <f t="shared" si="50"/>
        <v>20.78448275862069</v>
      </c>
      <c r="BE193" s="38">
        <f t="shared" si="51"/>
        <v>30.971999999999998</v>
      </c>
      <c r="BH193" s="34">
        <v>23</v>
      </c>
      <c r="BI193" s="43">
        <v>3.57</v>
      </c>
    </row>
    <row r="194" spans="14:61">
      <c r="N194" s="30" t="s">
        <v>397</v>
      </c>
      <c r="O194" s="40">
        <v>73.5</v>
      </c>
      <c r="P194" s="128">
        <v>26.3</v>
      </c>
      <c r="Q194" s="128">
        <v>1.04</v>
      </c>
      <c r="R194" s="128">
        <v>13.2</v>
      </c>
      <c r="S194" s="128">
        <v>1.89</v>
      </c>
      <c r="T194" s="40">
        <v>2.39</v>
      </c>
      <c r="U194" s="132">
        <v>1.375</v>
      </c>
      <c r="V194" s="40">
        <v>3.49</v>
      </c>
      <c r="W194" s="84" t="s">
        <v>127</v>
      </c>
      <c r="X194" s="35">
        <f t="shared" ref="X194:X257" si="52">(P194-(2*S194))/Q194</f>
        <v>21.653846153846153</v>
      </c>
      <c r="Y194" s="36">
        <f t="shared" ref="Y194:Y257" si="53">((AD194*AR194)/(2*AB194))^0.5</f>
        <v>3.7042069418868842</v>
      </c>
      <c r="Z194" s="34">
        <v>1.06</v>
      </c>
      <c r="AA194" s="40">
        <v>8490</v>
      </c>
      <c r="AB194" s="128">
        <v>644</v>
      </c>
      <c r="AC194" s="40">
        <v>10.7</v>
      </c>
      <c r="AD194" s="40">
        <v>724</v>
      </c>
      <c r="AE194" s="128">
        <v>110</v>
      </c>
      <c r="AF194" s="40">
        <v>3.14</v>
      </c>
      <c r="AG194" s="41">
        <v>744</v>
      </c>
      <c r="AH194" s="40">
        <v>171</v>
      </c>
      <c r="AI194" s="41">
        <v>66.599999999999994</v>
      </c>
      <c r="AJ194" s="40">
        <v>108000</v>
      </c>
      <c r="AK194" s="40">
        <v>80.599999999999994</v>
      </c>
      <c r="AL194" s="40">
        <v>502</v>
      </c>
      <c r="AM194" s="40">
        <v>140</v>
      </c>
      <c r="AN194" s="40">
        <v>371</v>
      </c>
      <c r="AO194" s="130" t="s">
        <v>393</v>
      </c>
      <c r="AP194" s="39" t="s">
        <v>69</v>
      </c>
      <c r="AQ194" s="40">
        <f t="shared" ref="AQ194:AQ257" si="54">1.76*AF194*($B$10/$B$11)^0.5</f>
        <v>133.09333656047551</v>
      </c>
      <c r="AR194" s="41">
        <f t="shared" si="47"/>
        <v>24.41</v>
      </c>
      <c r="AS194" s="37">
        <f t="shared" ref="AS194:AS257" si="55">((1.95*Y194*$B$10)/(0.7*$B$11))*(((AI194*1)/(AB194*AR194))^0.5)*(1+(1+(6.76*(((0.7*$B$11*AB194*AR194)/($B$10*AI194*1))^2)))^0.5)^0.5</f>
        <v>583.60955798000077</v>
      </c>
      <c r="AT194" s="42">
        <f t="shared" ref="AT194:AT257" si="56">$B$11*AG194</f>
        <v>37200</v>
      </c>
      <c r="AU194" s="31">
        <f t="shared" ref="AU194:AU257" si="57">0.7*$B$11*AB194</f>
        <v>22540</v>
      </c>
      <c r="AV194" s="31">
        <f t="shared" ref="AV194:AV257" si="58">(AT194-AU194)/(AS194-AQ194)</f>
        <v>32.540448718601098</v>
      </c>
      <c r="AW194" s="37">
        <f t="shared" ref="AW194:AW257" si="59">(($B$28*(3.142857143^2)*$B$10)/(($B$20*12)/Y194)^2)*((1+((0.078*AI194*(((12*$B$20)/Y194)^2))/(AB194*AR194)))^0.5)</f>
        <v>16197.856853400652</v>
      </c>
      <c r="AX194" s="31">
        <f t="shared" ref="AX194:AX257" si="60">AQ194+((AT194*($B$28-1))/(AV194*$B$28))</f>
        <v>133.09333656047551</v>
      </c>
      <c r="AY194" s="42">
        <f t="shared" ref="AY194:AY257" si="61">$B$28*(AT194-(AV194*(($B$20*12)-AQ194)))</f>
        <v>41023.285893123495</v>
      </c>
      <c r="AZ194" s="42">
        <f t="shared" si="48"/>
        <v>10431419.81359002</v>
      </c>
      <c r="BA194" s="42">
        <f t="shared" ref="BA194:BA257" si="62">AT194-((AT194-(0.7*$B$11*AB194))*($J$17))</f>
        <v>41531.3729659124</v>
      </c>
      <c r="BB194" s="42">
        <f t="shared" ref="BB194:BB257" si="63">AH194*$B$11</f>
        <v>8550</v>
      </c>
      <c r="BC194" s="38">
        <f t="shared" si="49"/>
        <v>23.91</v>
      </c>
      <c r="BD194" s="38">
        <f t="shared" si="50"/>
        <v>22.990384615384613</v>
      </c>
      <c r="BE194" s="38">
        <f t="shared" si="51"/>
        <v>27.352</v>
      </c>
      <c r="BH194" s="34">
        <v>25.3</v>
      </c>
      <c r="BI194" s="43">
        <v>3.53</v>
      </c>
    </row>
    <row r="195" spans="14:61">
      <c r="N195" s="30" t="s">
        <v>398</v>
      </c>
      <c r="O195" s="40">
        <v>67.2</v>
      </c>
      <c r="P195" s="128">
        <v>26</v>
      </c>
      <c r="Q195" s="128">
        <v>0.96</v>
      </c>
      <c r="R195" s="128">
        <v>13.1</v>
      </c>
      <c r="S195" s="128">
        <v>1.73</v>
      </c>
      <c r="T195" s="40">
        <v>2.23</v>
      </c>
      <c r="U195" s="132">
        <v>1.3125</v>
      </c>
      <c r="V195" s="40">
        <v>3.79</v>
      </c>
      <c r="W195" s="84" t="s">
        <v>127</v>
      </c>
      <c r="X195" s="35">
        <f t="shared" si="52"/>
        <v>23.479166666666668</v>
      </c>
      <c r="Y195" s="36">
        <f t="shared" si="53"/>
        <v>3.6654029207480825</v>
      </c>
      <c r="Z195" s="34">
        <v>1.1499999999999999</v>
      </c>
      <c r="AA195" s="40">
        <v>7650</v>
      </c>
      <c r="AB195" s="128">
        <v>588</v>
      </c>
      <c r="AC195" s="40">
        <v>10.7</v>
      </c>
      <c r="AD195" s="40">
        <v>651</v>
      </c>
      <c r="AE195" s="128">
        <v>99.4</v>
      </c>
      <c r="AF195" s="40">
        <v>3.11</v>
      </c>
      <c r="AG195" s="41">
        <v>675</v>
      </c>
      <c r="AH195" s="40">
        <v>154</v>
      </c>
      <c r="AI195" s="41">
        <v>51.3</v>
      </c>
      <c r="AJ195" s="40">
        <v>96000</v>
      </c>
      <c r="AK195" s="40">
        <v>79.599999999999994</v>
      </c>
      <c r="AL195" s="40">
        <v>451</v>
      </c>
      <c r="AM195" s="40">
        <v>128</v>
      </c>
      <c r="AN195" s="40">
        <v>337</v>
      </c>
      <c r="AO195" s="130" t="s">
        <v>393</v>
      </c>
      <c r="AP195" s="39" t="s">
        <v>69</v>
      </c>
      <c r="AQ195" s="40">
        <f t="shared" si="54"/>
        <v>131.82174417295502</v>
      </c>
      <c r="AR195" s="41">
        <f t="shared" ref="AR195:AR258" si="64">(P195-S195)</f>
        <v>24.27</v>
      </c>
      <c r="AS195" s="37">
        <f t="shared" si="55"/>
        <v>541.69736198407099</v>
      </c>
      <c r="AT195" s="42">
        <f t="shared" si="56"/>
        <v>33750</v>
      </c>
      <c r="AU195" s="31">
        <f t="shared" si="57"/>
        <v>20580</v>
      </c>
      <c r="AV195" s="31">
        <f t="shared" si="58"/>
        <v>32.131699051367249</v>
      </c>
      <c r="AW195" s="37">
        <f t="shared" si="59"/>
        <v>15854.100479158305</v>
      </c>
      <c r="AX195" s="31">
        <f t="shared" si="60"/>
        <v>131.82174417295502</v>
      </c>
      <c r="AY195" s="42">
        <f t="shared" si="61"/>
        <v>37484.402106990383</v>
      </c>
      <c r="AZ195" s="42">
        <f t="shared" ref="AZ195:AZ258" si="65">AW195*AB195</f>
        <v>9322211.0817450844</v>
      </c>
      <c r="BA195" s="42">
        <f t="shared" si="62"/>
        <v>37641.144744956771</v>
      </c>
      <c r="BB195" s="42">
        <f t="shared" si="63"/>
        <v>7700</v>
      </c>
      <c r="BC195" s="38">
        <f t="shared" ref="BC195:BC258" si="66">P195-T195</f>
        <v>23.77</v>
      </c>
      <c r="BD195" s="38">
        <f t="shared" ref="BD195:BD258" si="67">BC195/Q195</f>
        <v>24.760416666666668</v>
      </c>
      <c r="BE195" s="38">
        <f t="shared" ref="BE195:BE258" si="68">Q195*P195</f>
        <v>24.96</v>
      </c>
      <c r="BH195" s="34">
        <v>27.1</v>
      </c>
      <c r="BI195" s="43">
        <v>3.51</v>
      </c>
    </row>
    <row r="196" spans="14:61">
      <c r="N196" s="30" t="s">
        <v>399</v>
      </c>
      <c r="O196" s="40">
        <v>60.7</v>
      </c>
      <c r="P196" s="128">
        <v>25.7</v>
      </c>
      <c r="Q196" s="128">
        <v>0.87</v>
      </c>
      <c r="R196" s="128">
        <v>13</v>
      </c>
      <c r="S196" s="128">
        <v>1.57</v>
      </c>
      <c r="T196" s="40">
        <v>2.0699999999999998</v>
      </c>
      <c r="U196" s="132">
        <v>1.25</v>
      </c>
      <c r="V196" s="40">
        <v>4.1399999999999997</v>
      </c>
      <c r="W196" s="84" t="s">
        <v>127</v>
      </c>
      <c r="X196" s="35">
        <f t="shared" si="52"/>
        <v>25.931034482758619</v>
      </c>
      <c r="Y196" s="36">
        <f t="shared" si="53"/>
        <v>3.623934352099099</v>
      </c>
      <c r="Z196" s="34">
        <v>1.26</v>
      </c>
      <c r="AA196" s="40">
        <v>6820</v>
      </c>
      <c r="AB196" s="128">
        <v>531</v>
      </c>
      <c r="AC196" s="40">
        <v>10.6</v>
      </c>
      <c r="AD196" s="40">
        <v>578</v>
      </c>
      <c r="AE196" s="128">
        <v>88.8</v>
      </c>
      <c r="AF196" s="40">
        <v>3.08</v>
      </c>
      <c r="AG196" s="41">
        <v>606</v>
      </c>
      <c r="AH196" s="40">
        <v>137</v>
      </c>
      <c r="AI196" s="41">
        <v>38.299999999999997</v>
      </c>
      <c r="AJ196" s="40">
        <v>84200</v>
      </c>
      <c r="AK196" s="40">
        <v>78.5</v>
      </c>
      <c r="AL196" s="40">
        <v>401</v>
      </c>
      <c r="AM196" s="40">
        <v>115</v>
      </c>
      <c r="AN196" s="40">
        <v>302</v>
      </c>
      <c r="AO196" s="130" t="s">
        <v>393</v>
      </c>
      <c r="AP196" s="39" t="s">
        <v>69</v>
      </c>
      <c r="AQ196" s="40">
        <f t="shared" si="54"/>
        <v>130.55015178543454</v>
      </c>
      <c r="AR196" s="41">
        <f t="shared" si="64"/>
        <v>24.13</v>
      </c>
      <c r="AS196" s="37">
        <f t="shared" si="55"/>
        <v>501.05683482606975</v>
      </c>
      <c r="AT196" s="42">
        <f t="shared" si="56"/>
        <v>30300</v>
      </c>
      <c r="AU196" s="31">
        <f t="shared" si="57"/>
        <v>18585</v>
      </c>
      <c r="AV196" s="31">
        <f t="shared" si="58"/>
        <v>31.618862860606381</v>
      </c>
      <c r="AW196" s="37">
        <f t="shared" si="59"/>
        <v>15491.550309668897</v>
      </c>
      <c r="AX196" s="31">
        <f t="shared" si="60"/>
        <v>130.55015178543454</v>
      </c>
      <c r="AY196" s="42">
        <f t="shared" si="61"/>
        <v>33934.59308510954</v>
      </c>
      <c r="AZ196" s="42">
        <f t="shared" si="65"/>
        <v>8226013.2144341841</v>
      </c>
      <c r="BA196" s="42">
        <f t="shared" si="62"/>
        <v>33761.257455365878</v>
      </c>
      <c r="BB196" s="42">
        <f t="shared" si="63"/>
        <v>6850</v>
      </c>
      <c r="BC196" s="38">
        <f t="shared" si="66"/>
        <v>23.63</v>
      </c>
      <c r="BD196" s="38">
        <f t="shared" si="67"/>
        <v>27.160919540229884</v>
      </c>
      <c r="BE196" s="38">
        <f t="shared" si="68"/>
        <v>22.358999999999998</v>
      </c>
      <c r="BH196" s="34">
        <v>29.6</v>
      </c>
      <c r="BI196" s="43">
        <v>3.48</v>
      </c>
    </row>
    <row r="197" spans="14:61">
      <c r="N197" s="30" t="s">
        <v>400</v>
      </c>
      <c r="O197" s="40">
        <v>56.3</v>
      </c>
      <c r="P197" s="128">
        <v>25.5</v>
      </c>
      <c r="Q197" s="128">
        <v>0.81</v>
      </c>
      <c r="R197" s="128">
        <v>13</v>
      </c>
      <c r="S197" s="128">
        <v>1.46</v>
      </c>
      <c r="T197" s="40">
        <v>1.96</v>
      </c>
      <c r="U197" s="132">
        <v>1.25</v>
      </c>
      <c r="V197" s="40">
        <v>4.43</v>
      </c>
      <c r="W197" s="84" t="s">
        <v>127</v>
      </c>
      <c r="X197" s="35">
        <f t="shared" si="52"/>
        <v>27.876543209876541</v>
      </c>
      <c r="Y197" s="36">
        <f t="shared" si="53"/>
        <v>3.6020473924582497</v>
      </c>
      <c r="Z197" s="34">
        <v>1.35</v>
      </c>
      <c r="AA197" s="40">
        <v>6260</v>
      </c>
      <c r="AB197" s="128">
        <v>491</v>
      </c>
      <c r="AC197" s="40">
        <v>10.5</v>
      </c>
      <c r="AD197" s="40">
        <v>530</v>
      </c>
      <c r="AE197" s="128">
        <v>81.8</v>
      </c>
      <c r="AF197" s="40">
        <v>3.07</v>
      </c>
      <c r="AG197" s="41">
        <v>559</v>
      </c>
      <c r="AH197" s="40">
        <v>126</v>
      </c>
      <c r="AI197" s="41">
        <v>30.8</v>
      </c>
      <c r="AJ197" s="40">
        <v>76400</v>
      </c>
      <c r="AK197" s="40">
        <v>77.7</v>
      </c>
      <c r="AL197" s="40">
        <v>367</v>
      </c>
      <c r="AM197" s="40">
        <v>106</v>
      </c>
      <c r="AN197" s="40">
        <v>278</v>
      </c>
      <c r="AO197" s="130" t="s">
        <v>393</v>
      </c>
      <c r="AP197" s="39" t="s">
        <v>69</v>
      </c>
      <c r="AQ197" s="40">
        <f t="shared" si="54"/>
        <v>130.12628765626107</v>
      </c>
      <c r="AR197" s="41">
        <f t="shared" si="64"/>
        <v>24.04</v>
      </c>
      <c r="AS197" s="37">
        <f t="shared" si="55"/>
        <v>476.03862743092049</v>
      </c>
      <c r="AT197" s="42">
        <f t="shared" si="56"/>
        <v>27950</v>
      </c>
      <c r="AU197" s="31">
        <f t="shared" si="57"/>
        <v>17185</v>
      </c>
      <c r="AV197" s="31">
        <f t="shared" si="58"/>
        <v>31.120601268554729</v>
      </c>
      <c r="AW197" s="37">
        <f t="shared" si="59"/>
        <v>15301.158383648044</v>
      </c>
      <c r="AX197" s="31">
        <f t="shared" si="60"/>
        <v>130.12628765626107</v>
      </c>
      <c r="AY197" s="42">
        <f t="shared" si="61"/>
        <v>31514.126932918301</v>
      </c>
      <c r="AZ197" s="42">
        <f t="shared" si="65"/>
        <v>7512868.7663711896</v>
      </c>
      <c r="BA197" s="42">
        <f t="shared" si="62"/>
        <v>31130.575032608933</v>
      </c>
      <c r="BB197" s="42">
        <f t="shared" si="63"/>
        <v>6300</v>
      </c>
      <c r="BC197" s="38">
        <f t="shared" si="66"/>
        <v>23.54</v>
      </c>
      <c r="BD197" s="38">
        <f t="shared" si="67"/>
        <v>29.061728395061724</v>
      </c>
      <c r="BE197" s="38">
        <f t="shared" si="68"/>
        <v>20.655000000000001</v>
      </c>
      <c r="BH197" s="34">
        <v>31.4</v>
      </c>
      <c r="BI197" s="43">
        <v>3.46</v>
      </c>
    </row>
    <row r="198" spans="14:61">
      <c r="N198" s="30" t="s">
        <v>401</v>
      </c>
      <c r="O198" s="40">
        <v>51.7</v>
      </c>
      <c r="P198" s="128">
        <v>25.2</v>
      </c>
      <c r="Q198" s="128">
        <v>0.75</v>
      </c>
      <c r="R198" s="128">
        <v>12.9</v>
      </c>
      <c r="S198" s="128">
        <v>1.34</v>
      </c>
      <c r="T198" s="40">
        <v>1.84</v>
      </c>
      <c r="U198" s="132">
        <v>1.1875</v>
      </c>
      <c r="V198" s="40">
        <v>4.8099999999999996</v>
      </c>
      <c r="W198" s="84" t="s">
        <v>127</v>
      </c>
      <c r="X198" s="35">
        <f t="shared" si="52"/>
        <v>30.026666666666667</v>
      </c>
      <c r="Y198" s="36">
        <f t="shared" si="53"/>
        <v>3.5635406862027299</v>
      </c>
      <c r="Z198" s="34">
        <v>1.46</v>
      </c>
      <c r="AA198" s="40">
        <v>5680</v>
      </c>
      <c r="AB198" s="128">
        <v>450</v>
      </c>
      <c r="AC198" s="40">
        <v>10.5</v>
      </c>
      <c r="AD198" s="40">
        <v>479</v>
      </c>
      <c r="AE198" s="128">
        <v>74.3</v>
      </c>
      <c r="AF198" s="40">
        <v>3.04</v>
      </c>
      <c r="AG198" s="41">
        <v>511</v>
      </c>
      <c r="AH198" s="40">
        <v>115</v>
      </c>
      <c r="AI198" s="41">
        <v>23.9</v>
      </c>
      <c r="AJ198" s="40">
        <v>68400</v>
      </c>
      <c r="AK198" s="40">
        <v>77</v>
      </c>
      <c r="AL198" s="40">
        <v>333</v>
      </c>
      <c r="AM198" s="40">
        <v>97.2</v>
      </c>
      <c r="AN198" s="40">
        <v>254</v>
      </c>
      <c r="AO198" s="130" t="s">
        <v>393</v>
      </c>
      <c r="AP198" s="39" t="s">
        <v>69</v>
      </c>
      <c r="AQ198" s="40">
        <f t="shared" si="54"/>
        <v>128.85469526874061</v>
      </c>
      <c r="AR198" s="41">
        <f t="shared" si="64"/>
        <v>23.86</v>
      </c>
      <c r="AS198" s="37">
        <f t="shared" si="55"/>
        <v>448.69947304415365</v>
      </c>
      <c r="AT198" s="42">
        <f t="shared" si="56"/>
        <v>25550</v>
      </c>
      <c r="AU198" s="31">
        <f t="shared" si="57"/>
        <v>15750</v>
      </c>
      <c r="AV198" s="31">
        <f t="shared" si="58"/>
        <v>30.639862461288374</v>
      </c>
      <c r="AW198" s="37">
        <f t="shared" si="59"/>
        <v>14972.104385843639</v>
      </c>
      <c r="AX198" s="31">
        <f t="shared" si="60"/>
        <v>128.85469526874061</v>
      </c>
      <c r="AY198" s="42">
        <f t="shared" si="61"/>
        <v>29020.10828612934</v>
      </c>
      <c r="AZ198" s="42">
        <f t="shared" si="65"/>
        <v>6737446.9736296376</v>
      </c>
      <c r="BA198" s="42">
        <f t="shared" si="62"/>
        <v>28445.46078212425</v>
      </c>
      <c r="BB198" s="42">
        <f t="shared" si="63"/>
        <v>5750</v>
      </c>
      <c r="BC198" s="38">
        <f t="shared" si="66"/>
        <v>23.36</v>
      </c>
      <c r="BD198" s="38">
        <f t="shared" si="67"/>
        <v>31.146666666666665</v>
      </c>
      <c r="BE198" s="38">
        <f t="shared" si="68"/>
        <v>18.899999999999999</v>
      </c>
      <c r="BH198" s="34">
        <v>33.700000000000003</v>
      </c>
      <c r="BI198" s="43">
        <v>3.44</v>
      </c>
    </row>
    <row r="199" spans="14:61">
      <c r="N199" s="30" t="s">
        <v>402</v>
      </c>
      <c r="O199" s="40">
        <v>47.7</v>
      </c>
      <c r="P199" s="128">
        <v>25</v>
      </c>
      <c r="Q199" s="128">
        <v>0.70499999999999996</v>
      </c>
      <c r="R199" s="128">
        <v>13</v>
      </c>
      <c r="S199" s="128">
        <v>1.22</v>
      </c>
      <c r="T199" s="40">
        <v>1.72</v>
      </c>
      <c r="U199" s="132">
        <v>1.1875</v>
      </c>
      <c r="V199" s="40">
        <v>5.31</v>
      </c>
      <c r="W199" s="84" t="s">
        <v>127</v>
      </c>
      <c r="X199" s="35">
        <f t="shared" si="52"/>
        <v>32</v>
      </c>
      <c r="Y199" s="36">
        <f t="shared" si="53"/>
        <v>3.5669138475908366</v>
      </c>
      <c r="Z199" s="34">
        <v>1.58</v>
      </c>
      <c r="AA199" s="40">
        <v>5170</v>
      </c>
      <c r="AB199" s="128">
        <v>414</v>
      </c>
      <c r="AC199" s="40">
        <v>10.4</v>
      </c>
      <c r="AD199" s="40">
        <v>443</v>
      </c>
      <c r="AE199" s="128">
        <v>68.400000000000006</v>
      </c>
      <c r="AF199" s="40">
        <v>3.05</v>
      </c>
      <c r="AG199" s="41">
        <v>468</v>
      </c>
      <c r="AH199" s="40">
        <v>105</v>
      </c>
      <c r="AI199" s="41">
        <v>18.5</v>
      </c>
      <c r="AJ199" s="40">
        <v>62600</v>
      </c>
      <c r="AK199" s="40">
        <v>77</v>
      </c>
      <c r="AL199" s="40">
        <v>304</v>
      </c>
      <c r="AM199" s="40">
        <v>88.8</v>
      </c>
      <c r="AN199" s="40">
        <v>233</v>
      </c>
      <c r="AO199" s="130" t="s">
        <v>393</v>
      </c>
      <c r="AP199" s="39" t="s">
        <v>69</v>
      </c>
      <c r="AQ199" s="40">
        <f t="shared" si="54"/>
        <v>129.27855939791408</v>
      </c>
      <c r="AR199" s="41">
        <f t="shared" si="64"/>
        <v>23.78</v>
      </c>
      <c r="AS199" s="37">
        <f t="shared" si="55"/>
        <v>428.82782910828746</v>
      </c>
      <c r="AT199" s="42">
        <f t="shared" si="56"/>
        <v>23400</v>
      </c>
      <c r="AU199" s="31">
        <f t="shared" si="57"/>
        <v>14490</v>
      </c>
      <c r="AV199" s="31">
        <f t="shared" si="58"/>
        <v>29.744689441622921</v>
      </c>
      <c r="AW199" s="37">
        <f t="shared" si="59"/>
        <v>14996.546815514926</v>
      </c>
      <c r="AX199" s="31">
        <f t="shared" si="60"/>
        <v>129.27855939791408</v>
      </c>
      <c r="AY199" s="42">
        <f t="shared" si="61"/>
        <v>26781.333445462038</v>
      </c>
      <c r="AZ199" s="42">
        <f t="shared" si="65"/>
        <v>6208570.3816231797</v>
      </c>
      <c r="BA199" s="42">
        <f t="shared" si="62"/>
        <v>26032.505670278271</v>
      </c>
      <c r="BB199" s="42">
        <f t="shared" si="63"/>
        <v>5250</v>
      </c>
      <c r="BC199" s="38">
        <f t="shared" si="66"/>
        <v>23.28</v>
      </c>
      <c r="BD199" s="38">
        <f t="shared" si="67"/>
        <v>33.021276595744688</v>
      </c>
      <c r="BE199" s="38">
        <f t="shared" si="68"/>
        <v>17.625</v>
      </c>
      <c r="BH199" s="34">
        <v>35.5</v>
      </c>
      <c r="BI199" s="43">
        <v>3.45</v>
      </c>
    </row>
    <row r="200" spans="14:61">
      <c r="N200" s="30" t="s">
        <v>403</v>
      </c>
      <c r="O200" s="40">
        <v>43</v>
      </c>
      <c r="P200" s="128">
        <v>24.7</v>
      </c>
      <c r="Q200" s="128">
        <v>0.65</v>
      </c>
      <c r="R200" s="128">
        <v>12.9</v>
      </c>
      <c r="S200" s="128">
        <v>1.0900000000000001</v>
      </c>
      <c r="T200" s="40">
        <v>1.59</v>
      </c>
      <c r="U200" s="132">
        <v>1.125</v>
      </c>
      <c r="V200" s="40">
        <v>5.92</v>
      </c>
      <c r="W200" s="84" t="s">
        <v>127</v>
      </c>
      <c r="X200" s="35">
        <f t="shared" si="52"/>
        <v>34.646153846153844</v>
      </c>
      <c r="Y200" s="36">
        <f t="shared" si="53"/>
        <v>3.5272351977379857</v>
      </c>
      <c r="Z200" s="34">
        <v>1.76</v>
      </c>
      <c r="AA200" s="40">
        <v>4580</v>
      </c>
      <c r="AB200" s="128">
        <v>371</v>
      </c>
      <c r="AC200" s="40">
        <v>10.3</v>
      </c>
      <c r="AD200" s="40">
        <v>391</v>
      </c>
      <c r="AE200" s="128">
        <v>60.5</v>
      </c>
      <c r="AF200" s="40">
        <v>3.01</v>
      </c>
      <c r="AG200" s="41">
        <v>418</v>
      </c>
      <c r="AH200" s="40">
        <v>93.2</v>
      </c>
      <c r="AI200" s="41">
        <v>13.4</v>
      </c>
      <c r="AJ200" s="40">
        <v>54700</v>
      </c>
      <c r="AK200" s="40">
        <v>76.3</v>
      </c>
      <c r="AL200" s="40">
        <v>268</v>
      </c>
      <c r="AM200" s="40">
        <v>78.900000000000006</v>
      </c>
      <c r="AN200" s="40">
        <v>208</v>
      </c>
      <c r="AO200" s="130" t="s">
        <v>393</v>
      </c>
      <c r="AP200" s="39" t="s">
        <v>69</v>
      </c>
      <c r="AQ200" s="40">
        <f t="shared" si="54"/>
        <v>127.58310288122013</v>
      </c>
      <c r="AR200" s="41">
        <f t="shared" si="64"/>
        <v>23.61</v>
      </c>
      <c r="AS200" s="37">
        <f t="shared" si="55"/>
        <v>403.81679085665598</v>
      </c>
      <c r="AT200" s="42">
        <f t="shared" si="56"/>
        <v>20900</v>
      </c>
      <c r="AU200" s="31">
        <f t="shared" si="57"/>
        <v>12985</v>
      </c>
      <c r="AV200" s="31">
        <f t="shared" si="58"/>
        <v>28.653275630537301</v>
      </c>
      <c r="AW200" s="37">
        <f t="shared" si="59"/>
        <v>14661.323066220251</v>
      </c>
      <c r="AX200" s="31">
        <f t="shared" si="60"/>
        <v>127.58310288122013</v>
      </c>
      <c r="AY200" s="42">
        <f t="shared" si="61"/>
        <v>24108.682712818416</v>
      </c>
      <c r="AZ200" s="42">
        <f t="shared" si="65"/>
        <v>5439350.8575677136</v>
      </c>
      <c r="BA200" s="42">
        <f t="shared" si="62"/>
        <v>23238.527764338105</v>
      </c>
      <c r="BB200" s="42">
        <f t="shared" si="63"/>
        <v>4660</v>
      </c>
      <c r="BC200" s="38">
        <f t="shared" si="66"/>
        <v>23.11</v>
      </c>
      <c r="BD200" s="38">
        <f t="shared" si="67"/>
        <v>35.553846153846152</v>
      </c>
      <c r="BE200" s="38">
        <f t="shared" si="68"/>
        <v>16.055</v>
      </c>
      <c r="BH200" s="34">
        <v>38.1</v>
      </c>
      <c r="BI200" s="43">
        <v>3.43</v>
      </c>
    </row>
    <row r="201" spans="14:61">
      <c r="N201" s="30" t="s">
        <v>404</v>
      </c>
      <c r="O201" s="40">
        <v>38.5</v>
      </c>
      <c r="P201" s="128">
        <v>24.5</v>
      </c>
      <c r="Q201" s="128">
        <v>0.60499999999999998</v>
      </c>
      <c r="R201" s="128">
        <v>12.9</v>
      </c>
      <c r="S201" s="128">
        <v>0.96</v>
      </c>
      <c r="T201" s="40">
        <v>1.46</v>
      </c>
      <c r="U201" s="132">
        <v>1.125</v>
      </c>
      <c r="V201" s="40">
        <v>6.7</v>
      </c>
      <c r="W201" s="84" t="s">
        <v>127</v>
      </c>
      <c r="X201" s="35">
        <f t="shared" si="52"/>
        <v>37.322314049586772</v>
      </c>
      <c r="Y201" s="36">
        <f t="shared" si="53"/>
        <v>3.4876246695804669</v>
      </c>
      <c r="Z201" s="34">
        <v>1.98</v>
      </c>
      <c r="AA201" s="40">
        <v>4020</v>
      </c>
      <c r="AB201" s="128">
        <v>329</v>
      </c>
      <c r="AC201" s="40">
        <v>10.199999999999999</v>
      </c>
      <c r="AD201" s="40">
        <v>340</v>
      </c>
      <c r="AE201" s="128">
        <v>53</v>
      </c>
      <c r="AF201" s="40">
        <v>2.97</v>
      </c>
      <c r="AG201" s="41">
        <v>370</v>
      </c>
      <c r="AH201" s="40">
        <v>81.5</v>
      </c>
      <c r="AI201" s="41">
        <v>9.5</v>
      </c>
      <c r="AJ201" s="40">
        <v>47000</v>
      </c>
      <c r="AK201" s="40">
        <v>75.599999999999994</v>
      </c>
      <c r="AL201" s="40">
        <v>233</v>
      </c>
      <c r="AM201" s="40">
        <v>69.099999999999994</v>
      </c>
      <c r="AN201" s="40">
        <v>184</v>
      </c>
      <c r="AO201" s="130" t="s">
        <v>393</v>
      </c>
      <c r="AP201" s="39" t="s">
        <v>69</v>
      </c>
      <c r="AQ201" s="40">
        <f t="shared" si="54"/>
        <v>125.88764636452619</v>
      </c>
      <c r="AR201" s="41">
        <f t="shared" si="64"/>
        <v>23.54</v>
      </c>
      <c r="AS201" s="37">
        <f t="shared" si="55"/>
        <v>382.01088860141391</v>
      </c>
      <c r="AT201" s="42">
        <f t="shared" si="56"/>
        <v>18500</v>
      </c>
      <c r="AU201" s="31">
        <f t="shared" si="57"/>
        <v>11515</v>
      </c>
      <c r="AV201" s="31">
        <f t="shared" si="58"/>
        <v>27.272027087411267</v>
      </c>
      <c r="AW201" s="37">
        <f t="shared" si="59"/>
        <v>14330.879627177956</v>
      </c>
      <c r="AX201" s="31">
        <f t="shared" si="60"/>
        <v>125.88764636452619</v>
      </c>
      <c r="AY201" s="42">
        <f t="shared" si="61"/>
        <v>21507.767679060191</v>
      </c>
      <c r="AZ201" s="42">
        <f t="shared" si="65"/>
        <v>4714859.3973415475</v>
      </c>
      <c r="BA201" s="42">
        <f t="shared" si="62"/>
        <v>20563.754445218154</v>
      </c>
      <c r="BB201" s="42">
        <f t="shared" si="63"/>
        <v>4075</v>
      </c>
      <c r="BC201" s="38">
        <f t="shared" si="66"/>
        <v>23.04</v>
      </c>
      <c r="BD201" s="38">
        <f t="shared" si="67"/>
        <v>38.082644628099175</v>
      </c>
      <c r="BE201" s="38">
        <f t="shared" si="68"/>
        <v>14.8225</v>
      </c>
      <c r="BH201" s="34">
        <v>40.5</v>
      </c>
      <c r="BI201" s="43">
        <v>3.4</v>
      </c>
    </row>
    <row r="202" spans="14:61">
      <c r="N202" s="30" t="s">
        <v>405</v>
      </c>
      <c r="O202" s="40">
        <v>34.4</v>
      </c>
      <c r="P202" s="128">
        <v>24.3</v>
      </c>
      <c r="Q202" s="128">
        <v>0.55000000000000004</v>
      </c>
      <c r="R202" s="128">
        <v>12.8</v>
      </c>
      <c r="S202" s="128">
        <v>0.85</v>
      </c>
      <c r="T202" s="40">
        <v>1.35</v>
      </c>
      <c r="U202" s="132">
        <v>1.125</v>
      </c>
      <c r="V202" s="40">
        <v>7.53</v>
      </c>
      <c r="W202" s="84" t="s">
        <v>127</v>
      </c>
      <c r="X202" s="35">
        <f t="shared" si="52"/>
        <v>41.090909090909093</v>
      </c>
      <c r="Y202" s="36">
        <f t="shared" si="53"/>
        <v>3.4592994344692953</v>
      </c>
      <c r="Z202" s="34">
        <v>2.23</v>
      </c>
      <c r="AA202" s="40">
        <v>3540</v>
      </c>
      <c r="AB202" s="128">
        <v>291</v>
      </c>
      <c r="AC202" s="40">
        <v>10.1</v>
      </c>
      <c r="AD202" s="40">
        <v>297</v>
      </c>
      <c r="AE202" s="128">
        <v>46.5</v>
      </c>
      <c r="AF202" s="40">
        <v>2.94</v>
      </c>
      <c r="AG202" s="41">
        <v>327</v>
      </c>
      <c r="AH202" s="40">
        <v>71.400000000000006</v>
      </c>
      <c r="AI202" s="41">
        <v>6.72</v>
      </c>
      <c r="AJ202" s="40">
        <v>40700</v>
      </c>
      <c r="AK202" s="40">
        <v>74.900000000000006</v>
      </c>
      <c r="AL202" s="40">
        <v>204</v>
      </c>
      <c r="AM202" s="40">
        <v>60.9</v>
      </c>
      <c r="AN202" s="40">
        <v>162</v>
      </c>
      <c r="AO202" s="130" t="s">
        <v>393</v>
      </c>
      <c r="AP202" s="39" t="s">
        <v>69</v>
      </c>
      <c r="AQ202" s="40">
        <f t="shared" si="54"/>
        <v>124.61605397700572</v>
      </c>
      <c r="AR202" s="41">
        <f t="shared" si="64"/>
        <v>23.45</v>
      </c>
      <c r="AS202" s="37">
        <f t="shared" si="55"/>
        <v>365.38380902213072</v>
      </c>
      <c r="AT202" s="42">
        <f t="shared" si="56"/>
        <v>16350</v>
      </c>
      <c r="AU202" s="31">
        <f t="shared" si="57"/>
        <v>10185</v>
      </c>
      <c r="AV202" s="31">
        <f t="shared" si="58"/>
        <v>25.605588251817807</v>
      </c>
      <c r="AW202" s="37">
        <f t="shared" si="59"/>
        <v>14096.566012821911</v>
      </c>
      <c r="AX202" s="31">
        <f t="shared" si="60"/>
        <v>124.61605397700572</v>
      </c>
      <c r="AY202" s="42">
        <f t="shared" si="61"/>
        <v>19141.420190973153</v>
      </c>
      <c r="AZ202" s="42">
        <f t="shared" si="65"/>
        <v>4102100.709731176</v>
      </c>
      <c r="BA202" s="42">
        <f t="shared" si="62"/>
        <v>18171.481196101635</v>
      </c>
      <c r="BB202" s="42">
        <f t="shared" si="63"/>
        <v>3570.0000000000005</v>
      </c>
      <c r="BC202" s="38">
        <f t="shared" si="66"/>
        <v>22.95</v>
      </c>
      <c r="BD202" s="38">
        <f t="shared" si="67"/>
        <v>41.72727272727272</v>
      </c>
      <c r="BE202" s="38">
        <f t="shared" si="68"/>
        <v>13.365000000000002</v>
      </c>
      <c r="BH202" s="34">
        <v>44.1</v>
      </c>
      <c r="BI202" s="43">
        <v>3.37</v>
      </c>
    </row>
    <row r="203" spans="14:61">
      <c r="N203" s="30" t="s">
        <v>406</v>
      </c>
      <c r="O203" s="40">
        <v>30.6</v>
      </c>
      <c r="P203" s="128">
        <v>24.1</v>
      </c>
      <c r="Q203" s="128">
        <v>0.5</v>
      </c>
      <c r="R203" s="128">
        <v>12.8</v>
      </c>
      <c r="S203" s="128">
        <v>0.75</v>
      </c>
      <c r="T203" s="40">
        <v>1.25</v>
      </c>
      <c r="U203" s="132">
        <v>1.0625</v>
      </c>
      <c r="V203" s="40">
        <v>8.5</v>
      </c>
      <c r="W203" s="34">
        <v>58.5</v>
      </c>
      <c r="X203" s="35">
        <f t="shared" si="52"/>
        <v>45.2</v>
      </c>
      <c r="Y203" s="36">
        <f t="shared" si="53"/>
        <v>3.4234853494625175</v>
      </c>
      <c r="Z203" s="34">
        <v>2.52</v>
      </c>
      <c r="AA203" s="40">
        <v>3100</v>
      </c>
      <c r="AB203" s="128">
        <v>258</v>
      </c>
      <c r="AC203" s="40">
        <v>10.1</v>
      </c>
      <c r="AD203" s="40">
        <v>259</v>
      </c>
      <c r="AE203" s="128">
        <v>40.700000000000003</v>
      </c>
      <c r="AF203" s="40">
        <v>2.91</v>
      </c>
      <c r="AG203" s="41">
        <v>289</v>
      </c>
      <c r="AH203" s="40">
        <v>62.4</v>
      </c>
      <c r="AI203" s="41">
        <v>4.72</v>
      </c>
      <c r="AJ203" s="40">
        <v>35200</v>
      </c>
      <c r="AK203" s="40">
        <v>74.3</v>
      </c>
      <c r="AL203" s="40">
        <v>178</v>
      </c>
      <c r="AM203" s="40">
        <v>53.5</v>
      </c>
      <c r="AN203" s="40">
        <v>143</v>
      </c>
      <c r="AO203" s="130" t="s">
        <v>393</v>
      </c>
      <c r="AP203" s="39" t="s">
        <v>69</v>
      </c>
      <c r="AQ203" s="40">
        <f t="shared" si="54"/>
        <v>123.34446158948525</v>
      </c>
      <c r="AR203" s="41">
        <f t="shared" si="64"/>
        <v>23.35</v>
      </c>
      <c r="AS203" s="37">
        <f t="shared" si="55"/>
        <v>350.61055029924285</v>
      </c>
      <c r="AT203" s="42">
        <f t="shared" si="56"/>
        <v>14450</v>
      </c>
      <c r="AU203" s="31">
        <f t="shared" si="57"/>
        <v>9030</v>
      </c>
      <c r="AV203" s="31">
        <f t="shared" si="58"/>
        <v>23.848696612726517</v>
      </c>
      <c r="AW203" s="37">
        <f t="shared" si="59"/>
        <v>13804.173307104311</v>
      </c>
      <c r="AX203" s="31">
        <f t="shared" si="60"/>
        <v>123.34446158948525</v>
      </c>
      <c r="AY203" s="42">
        <f t="shared" si="61"/>
        <v>17019.564976149199</v>
      </c>
      <c r="AZ203" s="42">
        <f t="shared" si="65"/>
        <v>3561476.7132329121</v>
      </c>
      <c r="BA203" s="42">
        <f t="shared" si="62"/>
        <v>16051.36708562382</v>
      </c>
      <c r="BB203" s="42">
        <f t="shared" si="63"/>
        <v>3120</v>
      </c>
      <c r="BC203" s="38">
        <f t="shared" si="66"/>
        <v>22.85</v>
      </c>
      <c r="BD203" s="38">
        <f t="shared" si="67"/>
        <v>45.7</v>
      </c>
      <c r="BE203" s="38">
        <f t="shared" si="68"/>
        <v>12.05</v>
      </c>
      <c r="BH203" s="34">
        <v>48.1</v>
      </c>
      <c r="BI203" s="43">
        <v>3.35</v>
      </c>
    </row>
    <row r="204" spans="14:61">
      <c r="N204" s="30" t="s">
        <v>407</v>
      </c>
      <c r="O204" s="40">
        <v>30.3</v>
      </c>
      <c r="P204" s="128">
        <v>24.5</v>
      </c>
      <c r="Q204" s="128">
        <v>0.55000000000000004</v>
      </c>
      <c r="R204" s="128">
        <v>9</v>
      </c>
      <c r="S204" s="128">
        <v>0.98</v>
      </c>
      <c r="T204" s="40">
        <v>1.48</v>
      </c>
      <c r="U204" s="132">
        <v>1.125</v>
      </c>
      <c r="V204" s="40">
        <v>4.59</v>
      </c>
      <c r="W204" s="84" t="s">
        <v>127</v>
      </c>
      <c r="X204" s="35">
        <f t="shared" si="52"/>
        <v>40.981818181818177</v>
      </c>
      <c r="Y204" s="36">
        <f t="shared" si="53"/>
        <v>2.3899790794063449</v>
      </c>
      <c r="Z204" s="34">
        <v>2.78</v>
      </c>
      <c r="AA204" s="40">
        <v>3000</v>
      </c>
      <c r="AB204" s="128">
        <v>245</v>
      </c>
      <c r="AC204" s="40">
        <v>9.9600000000000009</v>
      </c>
      <c r="AD204" s="40">
        <v>119</v>
      </c>
      <c r="AE204" s="128">
        <v>26.5</v>
      </c>
      <c r="AF204" s="40">
        <v>1.99</v>
      </c>
      <c r="AG204" s="41">
        <v>280</v>
      </c>
      <c r="AH204" s="40">
        <v>41.5</v>
      </c>
      <c r="AI204" s="41">
        <v>7.07</v>
      </c>
      <c r="AJ204" s="40">
        <v>16500</v>
      </c>
      <c r="AK204" s="40">
        <v>53</v>
      </c>
      <c r="AL204" s="40">
        <v>117</v>
      </c>
      <c r="AM204" s="40">
        <v>48.8</v>
      </c>
      <c r="AN204" s="40">
        <v>139</v>
      </c>
      <c r="AO204" s="130" t="s">
        <v>393</v>
      </c>
      <c r="AP204" s="39" t="s">
        <v>69</v>
      </c>
      <c r="AQ204" s="40">
        <f t="shared" si="54"/>
        <v>84.348961705524275</v>
      </c>
      <c r="AR204" s="41">
        <f t="shared" si="64"/>
        <v>23.52</v>
      </c>
      <c r="AS204" s="37">
        <f t="shared" si="55"/>
        <v>261.79259181862017</v>
      </c>
      <c r="AT204" s="42">
        <f t="shared" si="56"/>
        <v>14000</v>
      </c>
      <c r="AU204" s="31">
        <f t="shared" si="57"/>
        <v>8575</v>
      </c>
      <c r="AV204" s="31">
        <f t="shared" si="58"/>
        <v>30.573089586491832</v>
      </c>
      <c r="AW204" s="37">
        <f t="shared" si="59"/>
        <v>6737.051292142386</v>
      </c>
      <c r="AX204" s="31">
        <f t="shared" si="60"/>
        <v>84.348961705524275</v>
      </c>
      <c r="AY204" s="42">
        <f t="shared" si="61"/>
        <v>16101.868165201289</v>
      </c>
      <c r="AZ204" s="42">
        <f t="shared" si="65"/>
        <v>1650577.5665748846</v>
      </c>
      <c r="BA204" s="42">
        <f t="shared" si="62"/>
        <v>15602.844361533067</v>
      </c>
      <c r="BB204" s="42">
        <f t="shared" si="63"/>
        <v>2075</v>
      </c>
      <c r="BC204" s="38">
        <f t="shared" si="66"/>
        <v>23.02</v>
      </c>
      <c r="BD204" s="38">
        <f t="shared" si="67"/>
        <v>41.854545454545452</v>
      </c>
      <c r="BE204" s="38">
        <f t="shared" si="68"/>
        <v>13.475000000000001</v>
      </c>
      <c r="BH204" s="34">
        <v>44.6</v>
      </c>
      <c r="BI204" s="43">
        <v>2.33</v>
      </c>
    </row>
    <row r="205" spans="14:61">
      <c r="N205" s="30" t="s">
        <v>408</v>
      </c>
      <c r="O205" s="40">
        <v>27.7</v>
      </c>
      <c r="P205" s="128">
        <v>24.3</v>
      </c>
      <c r="Q205" s="128">
        <v>0.51500000000000001</v>
      </c>
      <c r="R205" s="128">
        <v>9.07</v>
      </c>
      <c r="S205" s="128">
        <v>0.875</v>
      </c>
      <c r="T205" s="40">
        <v>1.38</v>
      </c>
      <c r="U205" s="132">
        <v>1.0625</v>
      </c>
      <c r="V205" s="40">
        <v>5.18</v>
      </c>
      <c r="W205" s="84" t="s">
        <v>127</v>
      </c>
      <c r="X205" s="35">
        <f t="shared" si="52"/>
        <v>43.786407766990294</v>
      </c>
      <c r="Y205" s="36">
        <f t="shared" si="53"/>
        <v>2.3980683855932847</v>
      </c>
      <c r="Z205" s="34">
        <v>3.06</v>
      </c>
      <c r="AA205" s="40">
        <v>2700</v>
      </c>
      <c r="AB205" s="128">
        <v>222</v>
      </c>
      <c r="AC205" s="40">
        <v>9.8699999999999992</v>
      </c>
      <c r="AD205" s="40">
        <v>109</v>
      </c>
      <c r="AE205" s="128">
        <v>24</v>
      </c>
      <c r="AF205" s="40">
        <v>1.98</v>
      </c>
      <c r="AG205" s="41">
        <v>254</v>
      </c>
      <c r="AH205" s="40">
        <v>37.5</v>
      </c>
      <c r="AI205" s="41">
        <v>5.26</v>
      </c>
      <c r="AJ205" s="40">
        <v>15000</v>
      </c>
      <c r="AK205" s="40">
        <v>53.1</v>
      </c>
      <c r="AL205" s="40">
        <v>105</v>
      </c>
      <c r="AM205" s="40">
        <v>43.8</v>
      </c>
      <c r="AN205" s="40">
        <v>126</v>
      </c>
      <c r="AO205" s="130" t="s">
        <v>393</v>
      </c>
      <c r="AP205" s="39" t="s">
        <v>69</v>
      </c>
      <c r="AQ205" s="40">
        <f t="shared" si="54"/>
        <v>83.92509757635078</v>
      </c>
      <c r="AR205" s="41">
        <f t="shared" si="64"/>
        <v>23.425000000000001</v>
      </c>
      <c r="AS205" s="37">
        <f t="shared" si="55"/>
        <v>254.32184638935854</v>
      </c>
      <c r="AT205" s="42">
        <f t="shared" si="56"/>
        <v>12700</v>
      </c>
      <c r="AU205" s="31">
        <f t="shared" si="57"/>
        <v>7770</v>
      </c>
      <c r="AV205" s="31">
        <f t="shared" si="58"/>
        <v>28.932476906646549</v>
      </c>
      <c r="AW205" s="37">
        <f t="shared" si="59"/>
        <v>6780.2387414285686</v>
      </c>
      <c r="AX205" s="31">
        <f t="shared" si="60"/>
        <v>83.92509757635078</v>
      </c>
      <c r="AY205" s="42">
        <f t="shared" si="61"/>
        <v>14676.814307772142</v>
      </c>
      <c r="AZ205" s="42">
        <f t="shared" si="65"/>
        <v>1505213.0005971421</v>
      </c>
      <c r="BA205" s="42">
        <f t="shared" si="62"/>
        <v>14156.594046517608</v>
      </c>
      <c r="BB205" s="42">
        <f t="shared" si="63"/>
        <v>1875</v>
      </c>
      <c r="BC205" s="38">
        <f t="shared" si="66"/>
        <v>22.92</v>
      </c>
      <c r="BD205" s="38">
        <f t="shared" si="67"/>
        <v>44.504854368932044</v>
      </c>
      <c r="BE205" s="38">
        <f t="shared" si="68"/>
        <v>12.5145</v>
      </c>
      <c r="BH205" s="34">
        <v>47.2</v>
      </c>
      <c r="BI205" s="43">
        <v>2.33</v>
      </c>
    </row>
    <row r="206" spans="14:61">
      <c r="N206" s="30" t="s">
        <v>409</v>
      </c>
      <c r="O206" s="40">
        <v>24.7</v>
      </c>
      <c r="P206" s="128">
        <v>24.1</v>
      </c>
      <c r="Q206" s="128">
        <v>0.47</v>
      </c>
      <c r="R206" s="128">
        <v>9.02</v>
      </c>
      <c r="S206" s="128">
        <v>0.77</v>
      </c>
      <c r="T206" s="40">
        <v>1.27</v>
      </c>
      <c r="U206" s="132">
        <v>1.0625</v>
      </c>
      <c r="V206" s="40">
        <v>5.86</v>
      </c>
      <c r="W206" s="84" t="s">
        <v>127</v>
      </c>
      <c r="X206" s="35">
        <f t="shared" si="52"/>
        <v>48.000000000000007</v>
      </c>
      <c r="Y206" s="36">
        <f t="shared" si="53"/>
        <v>2.3702837167645532</v>
      </c>
      <c r="Z206" s="34">
        <v>3.47</v>
      </c>
      <c r="AA206" s="40">
        <v>2370</v>
      </c>
      <c r="AB206" s="128">
        <v>196</v>
      </c>
      <c r="AC206" s="40">
        <v>9.7899999999999991</v>
      </c>
      <c r="AD206" s="40">
        <v>94.4</v>
      </c>
      <c r="AE206" s="128">
        <v>20.9</v>
      </c>
      <c r="AF206" s="40">
        <v>1.95</v>
      </c>
      <c r="AG206" s="41">
        <v>224</v>
      </c>
      <c r="AH206" s="40">
        <v>32.6</v>
      </c>
      <c r="AI206" s="41">
        <v>3.7</v>
      </c>
      <c r="AJ206" s="40">
        <v>12800</v>
      </c>
      <c r="AK206" s="40">
        <v>52.6</v>
      </c>
      <c r="AL206" s="40">
        <v>91.3</v>
      </c>
      <c r="AM206" s="40">
        <v>38.4</v>
      </c>
      <c r="AN206" s="40">
        <v>111</v>
      </c>
      <c r="AO206" s="130" t="s">
        <v>393</v>
      </c>
      <c r="AP206" s="39" t="s">
        <v>69</v>
      </c>
      <c r="AQ206" s="40">
        <f t="shared" si="54"/>
        <v>82.653505188830323</v>
      </c>
      <c r="AR206" s="41">
        <f t="shared" si="64"/>
        <v>23.330000000000002</v>
      </c>
      <c r="AS206" s="37">
        <f t="shared" si="55"/>
        <v>243.71259249819505</v>
      </c>
      <c r="AT206" s="42">
        <f t="shared" si="56"/>
        <v>11200</v>
      </c>
      <c r="AU206" s="31">
        <f t="shared" si="57"/>
        <v>6860</v>
      </c>
      <c r="AV206" s="31">
        <f t="shared" si="58"/>
        <v>26.946632273307639</v>
      </c>
      <c r="AW206" s="37">
        <f t="shared" si="59"/>
        <v>6622.0367413636177</v>
      </c>
      <c r="AX206" s="31">
        <f t="shared" si="60"/>
        <v>82.653505188830323</v>
      </c>
      <c r="AY206" s="42">
        <f t="shared" si="61"/>
        <v>13006.866146959735</v>
      </c>
      <c r="AZ206" s="42">
        <f t="shared" si="65"/>
        <v>1297919.201307269</v>
      </c>
      <c r="BA206" s="42">
        <f t="shared" si="62"/>
        <v>12482.275489226453</v>
      </c>
      <c r="BB206" s="42">
        <f t="shared" si="63"/>
        <v>1630</v>
      </c>
      <c r="BC206" s="38">
        <f t="shared" si="66"/>
        <v>22.830000000000002</v>
      </c>
      <c r="BD206" s="38">
        <f t="shared" si="67"/>
        <v>48.574468085106389</v>
      </c>
      <c r="BE206" s="38">
        <f t="shared" si="68"/>
        <v>11.327</v>
      </c>
      <c r="BH206" s="34">
        <v>51.3</v>
      </c>
      <c r="BI206" s="43">
        <v>2.31</v>
      </c>
    </row>
    <row r="207" spans="14:61">
      <c r="N207" s="30" t="s">
        <v>410</v>
      </c>
      <c r="O207" s="40">
        <v>22.4</v>
      </c>
      <c r="P207" s="128">
        <v>23.9</v>
      </c>
      <c r="Q207" s="128">
        <v>0.44</v>
      </c>
      <c r="R207" s="128">
        <v>8.99</v>
      </c>
      <c r="S207" s="128">
        <v>0.68</v>
      </c>
      <c r="T207" s="40">
        <v>1.18</v>
      </c>
      <c r="U207" s="132">
        <v>1.0625</v>
      </c>
      <c r="V207" s="40">
        <v>6.61</v>
      </c>
      <c r="W207" s="84" t="s">
        <v>127</v>
      </c>
      <c r="X207" s="35">
        <f t="shared" si="52"/>
        <v>51.227272727272727</v>
      </c>
      <c r="Y207" s="36">
        <f t="shared" si="53"/>
        <v>2.3328496522493682</v>
      </c>
      <c r="Z207" s="34">
        <v>3.91</v>
      </c>
      <c r="AA207" s="40">
        <v>2100</v>
      </c>
      <c r="AB207" s="128">
        <v>176</v>
      </c>
      <c r="AC207" s="40">
        <v>9.69</v>
      </c>
      <c r="AD207" s="40">
        <v>82.5</v>
      </c>
      <c r="AE207" s="128">
        <v>18.399999999999999</v>
      </c>
      <c r="AF207" s="40">
        <v>1.92</v>
      </c>
      <c r="AG207" s="41">
        <v>200</v>
      </c>
      <c r="AH207" s="40">
        <v>28.6</v>
      </c>
      <c r="AI207" s="41">
        <v>2.68</v>
      </c>
      <c r="AJ207" s="40">
        <v>11100</v>
      </c>
      <c r="AK207" s="40">
        <v>52.2</v>
      </c>
      <c r="AL207" s="40">
        <v>79.8</v>
      </c>
      <c r="AM207" s="40">
        <v>33.799999999999997</v>
      </c>
      <c r="AN207" s="40">
        <v>99</v>
      </c>
      <c r="AO207" s="130" t="s">
        <v>393</v>
      </c>
      <c r="AP207" s="39" t="s">
        <v>69</v>
      </c>
      <c r="AQ207" s="40">
        <f t="shared" si="54"/>
        <v>81.381912801309852</v>
      </c>
      <c r="AR207" s="41">
        <f t="shared" si="64"/>
        <v>23.22</v>
      </c>
      <c r="AS207" s="37">
        <f t="shared" si="55"/>
        <v>234.22307038827185</v>
      </c>
      <c r="AT207" s="42">
        <f t="shared" si="56"/>
        <v>10000</v>
      </c>
      <c r="AU207" s="31">
        <f t="shared" si="57"/>
        <v>6160</v>
      </c>
      <c r="AV207" s="31">
        <f t="shared" si="58"/>
        <v>25.124122720774057</v>
      </c>
      <c r="AW207" s="37">
        <f t="shared" si="59"/>
        <v>6413.0954689558157</v>
      </c>
      <c r="AX207" s="31">
        <f t="shared" si="60"/>
        <v>81.381912801309852</v>
      </c>
      <c r="AY207" s="42">
        <f t="shared" si="61"/>
        <v>11652.712850027367</v>
      </c>
      <c r="AZ207" s="42">
        <f t="shared" si="65"/>
        <v>1128704.8025362235</v>
      </c>
      <c r="BA207" s="42">
        <f t="shared" si="62"/>
        <v>11134.547898301747</v>
      </c>
      <c r="BB207" s="42">
        <f t="shared" si="63"/>
        <v>1430</v>
      </c>
      <c r="BC207" s="38">
        <f t="shared" si="66"/>
        <v>22.72</v>
      </c>
      <c r="BD207" s="38">
        <f t="shared" si="67"/>
        <v>51.636363636363633</v>
      </c>
      <c r="BE207" s="38">
        <f t="shared" si="68"/>
        <v>10.516</v>
      </c>
      <c r="BH207" s="34">
        <v>54.4</v>
      </c>
      <c r="BI207" s="43">
        <v>2.29</v>
      </c>
    </row>
    <row r="208" spans="14:61">
      <c r="N208" s="30" t="s">
        <v>411</v>
      </c>
      <c r="O208" s="40">
        <v>20.100000000000001</v>
      </c>
      <c r="P208" s="128">
        <v>23.7</v>
      </c>
      <c r="Q208" s="128">
        <v>0.41499999999999998</v>
      </c>
      <c r="R208" s="128">
        <v>8.9700000000000006</v>
      </c>
      <c r="S208" s="128">
        <v>0.58499999999999996</v>
      </c>
      <c r="T208" s="40">
        <v>1.0900000000000001</v>
      </c>
      <c r="U208" s="132">
        <v>1.0625</v>
      </c>
      <c r="V208" s="40">
        <v>7.66</v>
      </c>
      <c r="W208" s="84" t="s">
        <v>127</v>
      </c>
      <c r="X208" s="35">
        <f t="shared" si="52"/>
        <v>54.289156626506028</v>
      </c>
      <c r="Y208" s="36">
        <f t="shared" si="53"/>
        <v>2.2985709846399289</v>
      </c>
      <c r="Z208" s="34">
        <v>4.5199999999999996</v>
      </c>
      <c r="AA208" s="40">
        <v>1830</v>
      </c>
      <c r="AB208" s="128">
        <v>154</v>
      </c>
      <c r="AC208" s="40">
        <v>9.5500000000000007</v>
      </c>
      <c r="AD208" s="40">
        <v>70.400000000000006</v>
      </c>
      <c r="AE208" s="128">
        <v>15.7</v>
      </c>
      <c r="AF208" s="40">
        <v>1.87</v>
      </c>
      <c r="AG208" s="41">
        <v>177</v>
      </c>
      <c r="AH208" s="40">
        <v>24.5</v>
      </c>
      <c r="AI208" s="41">
        <v>1.87</v>
      </c>
      <c r="AJ208" s="40">
        <v>9430</v>
      </c>
      <c r="AK208" s="40">
        <v>51.9</v>
      </c>
      <c r="AL208" s="40">
        <v>68</v>
      </c>
      <c r="AM208" s="40">
        <v>28.9</v>
      </c>
      <c r="AN208" s="40">
        <v>87.1</v>
      </c>
      <c r="AO208" s="130" t="s">
        <v>393</v>
      </c>
      <c r="AP208" s="39" t="s">
        <v>69</v>
      </c>
      <c r="AQ208" s="40">
        <f t="shared" si="54"/>
        <v>79.26259215544242</v>
      </c>
      <c r="AR208" s="41">
        <f t="shared" si="64"/>
        <v>23.114999999999998</v>
      </c>
      <c r="AS208" s="37">
        <f t="shared" si="55"/>
        <v>226.11495446927361</v>
      </c>
      <c r="AT208" s="42">
        <f t="shared" si="56"/>
        <v>8850</v>
      </c>
      <c r="AU208" s="31">
        <f t="shared" si="57"/>
        <v>5390</v>
      </c>
      <c r="AV208" s="31">
        <f t="shared" si="58"/>
        <v>23.561078252223133</v>
      </c>
      <c r="AW208" s="37">
        <f t="shared" si="59"/>
        <v>6224.7709022652025</v>
      </c>
      <c r="AX208" s="31">
        <f t="shared" si="60"/>
        <v>79.26259215544242</v>
      </c>
      <c r="AY208" s="42">
        <f t="shared" si="61"/>
        <v>10349.959315513745</v>
      </c>
      <c r="AZ208" s="42">
        <f t="shared" si="65"/>
        <v>958614.71894884121</v>
      </c>
      <c r="BA208" s="42">
        <f t="shared" si="62"/>
        <v>9872.2749291989694</v>
      </c>
      <c r="BB208" s="42">
        <f t="shared" si="63"/>
        <v>1225</v>
      </c>
      <c r="BC208" s="38">
        <f t="shared" si="66"/>
        <v>22.61</v>
      </c>
      <c r="BD208" s="38">
        <f t="shared" si="67"/>
        <v>54.481927710843372</v>
      </c>
      <c r="BE208" s="38">
        <f t="shared" si="68"/>
        <v>9.8354999999999997</v>
      </c>
      <c r="BH208" s="34">
        <v>57.2</v>
      </c>
      <c r="BI208" s="43">
        <v>2.2599999999999998</v>
      </c>
    </row>
    <row r="209" spans="14:61">
      <c r="N209" s="147" t="s">
        <v>412</v>
      </c>
      <c r="O209" s="41">
        <v>18.3</v>
      </c>
      <c r="P209" s="148">
        <v>23.7</v>
      </c>
      <c r="Q209" s="148">
        <v>0.43</v>
      </c>
      <c r="R209" s="148">
        <v>7.04</v>
      </c>
      <c r="S209" s="148">
        <v>0.59</v>
      </c>
      <c r="T209" s="41">
        <v>1.19</v>
      </c>
      <c r="U209" s="149">
        <v>1.0625</v>
      </c>
      <c r="V209" s="41">
        <v>5.97</v>
      </c>
      <c r="W209" s="150" t="s">
        <v>127</v>
      </c>
      <c r="X209" s="36">
        <f t="shared" si="52"/>
        <v>52.372093023255815</v>
      </c>
      <c r="Y209" s="36">
        <f t="shared" si="53"/>
        <v>1.7378310672162063</v>
      </c>
      <c r="Z209" s="43">
        <v>5.72</v>
      </c>
      <c r="AA209" s="41">
        <v>1560</v>
      </c>
      <c r="AB209" s="148">
        <v>132</v>
      </c>
      <c r="AC209" s="41">
        <v>9.24</v>
      </c>
      <c r="AD209" s="41">
        <v>34.5</v>
      </c>
      <c r="AE209" s="148">
        <v>9.8000000000000007</v>
      </c>
      <c r="AF209" s="41">
        <v>1.37</v>
      </c>
      <c r="AG209" s="41">
        <v>154</v>
      </c>
      <c r="AH209" s="41">
        <v>15.8</v>
      </c>
      <c r="AI209" s="41">
        <v>1.77</v>
      </c>
      <c r="AJ209" s="41">
        <v>4620</v>
      </c>
      <c r="AK209" s="41">
        <v>40.700000000000003</v>
      </c>
      <c r="AL209" s="41">
        <v>42.3</v>
      </c>
      <c r="AM209" s="41">
        <v>22.6</v>
      </c>
      <c r="AN209" s="41">
        <v>75.400000000000006</v>
      </c>
      <c r="AO209" s="151" t="s">
        <v>393</v>
      </c>
      <c r="AP209" s="152" t="s">
        <v>204</v>
      </c>
      <c r="AQ209" s="40">
        <f t="shared" si="54"/>
        <v>58.069385696767966</v>
      </c>
      <c r="AR209" s="41">
        <f t="shared" si="64"/>
        <v>23.11</v>
      </c>
      <c r="AS209" s="37">
        <f t="shared" si="55"/>
        <v>172.43314552384291</v>
      </c>
      <c r="AT209" s="42">
        <f t="shared" si="56"/>
        <v>7700</v>
      </c>
      <c r="AU209" s="37">
        <f t="shared" si="57"/>
        <v>4620</v>
      </c>
      <c r="AV209" s="37">
        <f t="shared" si="58"/>
        <v>26.931608445342736</v>
      </c>
      <c r="AW209" s="37">
        <f t="shared" si="59"/>
        <v>3561.2599689063522</v>
      </c>
      <c r="AX209" s="37">
        <f t="shared" si="60"/>
        <v>58.069385696767966</v>
      </c>
      <c r="AY209" s="153">
        <f t="shared" si="61"/>
        <v>8843.7688664995949</v>
      </c>
      <c r="AZ209" s="42">
        <f t="shared" si="65"/>
        <v>470086.31589563849</v>
      </c>
      <c r="BA209" s="42">
        <f t="shared" si="62"/>
        <v>8610.0019600961932</v>
      </c>
      <c r="BB209" s="42">
        <f t="shared" si="63"/>
        <v>790</v>
      </c>
      <c r="BC209" s="38">
        <f t="shared" si="66"/>
        <v>22.509999999999998</v>
      </c>
      <c r="BD209" s="38">
        <f t="shared" si="67"/>
        <v>52.348837209302324</v>
      </c>
      <c r="BE209" s="38">
        <f t="shared" si="68"/>
        <v>10.190999999999999</v>
      </c>
      <c r="BH209" s="34">
        <v>55.2</v>
      </c>
      <c r="BI209" s="43">
        <v>1.71</v>
      </c>
    </row>
    <row r="210" spans="14:61">
      <c r="N210" s="30" t="s">
        <v>413</v>
      </c>
      <c r="O210" s="40">
        <v>16.3</v>
      </c>
      <c r="P210" s="128">
        <v>23.6</v>
      </c>
      <c r="Q210" s="128">
        <v>0.39500000000000002</v>
      </c>
      <c r="R210" s="128">
        <v>7.01</v>
      </c>
      <c r="S210" s="128">
        <v>0.505</v>
      </c>
      <c r="T210" s="40">
        <v>1.1100000000000001</v>
      </c>
      <c r="U210" s="129">
        <v>1</v>
      </c>
      <c r="V210" s="40">
        <v>6.94</v>
      </c>
      <c r="W210" s="84" t="s">
        <v>127</v>
      </c>
      <c r="X210" s="35">
        <f t="shared" si="52"/>
        <v>57.189873417721515</v>
      </c>
      <c r="Y210" s="36">
        <f t="shared" si="53"/>
        <v>1.7093915774969151</v>
      </c>
      <c r="Z210" s="34">
        <v>6.66</v>
      </c>
      <c r="AA210" s="40">
        <v>1360</v>
      </c>
      <c r="AB210" s="128">
        <v>115</v>
      </c>
      <c r="AC210" s="40">
        <v>9.1300000000000008</v>
      </c>
      <c r="AD210" s="40">
        <v>29.1</v>
      </c>
      <c r="AE210" s="128">
        <v>8.3000000000000007</v>
      </c>
      <c r="AF210" s="40">
        <v>1.34</v>
      </c>
      <c r="AG210" s="41">
        <v>135</v>
      </c>
      <c r="AH210" s="40">
        <v>13.4</v>
      </c>
      <c r="AI210" s="41">
        <v>1.24</v>
      </c>
      <c r="AJ210" s="40">
        <v>3870</v>
      </c>
      <c r="AK210" s="40">
        <v>40.4</v>
      </c>
      <c r="AL210" s="40">
        <v>35.700000000000003</v>
      </c>
      <c r="AM210" s="40">
        <v>19.2</v>
      </c>
      <c r="AN210" s="40">
        <v>65.900000000000006</v>
      </c>
      <c r="AO210" s="130" t="s">
        <v>393</v>
      </c>
      <c r="AP210" s="39" t="s">
        <v>204</v>
      </c>
      <c r="AQ210" s="40">
        <f t="shared" si="54"/>
        <v>56.797793309247503</v>
      </c>
      <c r="AR210" s="41">
        <f t="shared" si="64"/>
        <v>23.095000000000002</v>
      </c>
      <c r="AS210" s="37">
        <f t="shared" si="55"/>
        <v>166.61660859549426</v>
      </c>
      <c r="AT210" s="42">
        <f t="shared" si="56"/>
        <v>6750</v>
      </c>
      <c r="AU210" s="31">
        <f t="shared" si="57"/>
        <v>4025</v>
      </c>
      <c r="AV210" s="31">
        <f t="shared" si="58"/>
        <v>24.813598588704387</v>
      </c>
      <c r="AW210" s="37">
        <f t="shared" si="59"/>
        <v>3444.6000564354104</v>
      </c>
      <c r="AX210" s="31">
        <f t="shared" si="60"/>
        <v>56.797793309247503</v>
      </c>
      <c r="AY210" s="42">
        <f t="shared" si="61"/>
        <v>7772.2655059160788</v>
      </c>
      <c r="AZ210" s="42">
        <f t="shared" si="65"/>
        <v>396129.00649007218</v>
      </c>
      <c r="BA210" s="42">
        <f t="shared" si="62"/>
        <v>7555.1153705396509</v>
      </c>
      <c r="BB210" s="42">
        <f t="shared" si="63"/>
        <v>670</v>
      </c>
      <c r="BC210" s="38">
        <f t="shared" si="66"/>
        <v>22.490000000000002</v>
      </c>
      <c r="BD210" s="38">
        <f t="shared" si="67"/>
        <v>56.936708860759495</v>
      </c>
      <c r="BE210" s="38">
        <f t="shared" si="68"/>
        <v>9.322000000000001</v>
      </c>
      <c r="BH210" s="34">
        <v>59.7</v>
      </c>
      <c r="BI210" s="43">
        <v>1.68</v>
      </c>
    </row>
    <row r="211" spans="14:61">
      <c r="N211" s="123" t="s">
        <v>414</v>
      </c>
      <c r="O211" s="80">
        <v>118</v>
      </c>
      <c r="P211" s="124">
        <v>26.02</v>
      </c>
      <c r="Q211" s="124">
        <v>1.73</v>
      </c>
      <c r="R211" s="133">
        <v>13.404999999999999</v>
      </c>
      <c r="S211" s="124">
        <v>3.13</v>
      </c>
      <c r="T211" s="80">
        <v>3.875</v>
      </c>
      <c r="U211" s="80">
        <v>1.4375</v>
      </c>
      <c r="V211" s="80">
        <v>2.1</v>
      </c>
      <c r="W211" s="125" t="s">
        <v>127</v>
      </c>
      <c r="X211" s="35">
        <f t="shared" si="52"/>
        <v>11.421965317919074</v>
      </c>
      <c r="Y211" s="36">
        <f t="shared" si="53"/>
        <v>3.938582650873129</v>
      </c>
      <c r="Z211" s="80">
        <v>0.62</v>
      </c>
      <c r="AA211" s="80">
        <v>12200</v>
      </c>
      <c r="AB211" s="124">
        <v>937</v>
      </c>
      <c r="AC211" s="80">
        <v>10.199999999999999</v>
      </c>
      <c r="AD211" s="80">
        <v>1270</v>
      </c>
      <c r="AE211" s="124">
        <v>189</v>
      </c>
      <c r="AF211" s="80">
        <v>3.27</v>
      </c>
      <c r="AG211" s="81">
        <v>1130</v>
      </c>
      <c r="AH211" s="80">
        <v>296</v>
      </c>
      <c r="AI211" s="81">
        <v>297</v>
      </c>
      <c r="AJ211" s="80">
        <v>165000</v>
      </c>
      <c r="AK211" s="80">
        <v>76.7</v>
      </c>
      <c r="AL211" s="80">
        <v>805</v>
      </c>
      <c r="AM211" s="80">
        <v>210</v>
      </c>
      <c r="AN211" s="80">
        <v>564</v>
      </c>
      <c r="AO211" s="125" t="s">
        <v>415</v>
      </c>
      <c r="AP211" s="126" t="s">
        <v>69</v>
      </c>
      <c r="AQ211" s="40">
        <f t="shared" si="54"/>
        <v>138.60357023973086</v>
      </c>
      <c r="AR211" s="41">
        <f t="shared" si="64"/>
        <v>22.89</v>
      </c>
      <c r="AS211" s="37">
        <f t="shared" si="55"/>
        <v>1065.7136176514869</v>
      </c>
      <c r="AT211" s="42">
        <f t="shared" si="56"/>
        <v>56500</v>
      </c>
      <c r="AU211" s="31">
        <f t="shared" si="57"/>
        <v>32795</v>
      </c>
      <c r="AV211" s="31">
        <f t="shared" si="58"/>
        <v>25.568701435366858</v>
      </c>
      <c r="AW211" s="37">
        <f t="shared" si="59"/>
        <v>18413.090483718821</v>
      </c>
      <c r="AX211" s="31">
        <f t="shared" si="60"/>
        <v>138.60357023973086</v>
      </c>
      <c r="AY211" s="42">
        <f t="shared" si="61"/>
        <v>59645.041562943858</v>
      </c>
      <c r="AZ211" s="42">
        <f t="shared" si="65"/>
        <v>17253065.783244535</v>
      </c>
      <c r="BA211" s="42">
        <f t="shared" si="62"/>
        <v>63503.765085740342</v>
      </c>
      <c r="BB211" s="42">
        <f t="shared" si="63"/>
        <v>14800</v>
      </c>
      <c r="BC211" s="38">
        <f t="shared" si="66"/>
        <v>22.145</v>
      </c>
      <c r="BD211" s="38">
        <f t="shared" si="67"/>
        <v>12.800578034682081</v>
      </c>
      <c r="BE211" s="38">
        <f t="shared" si="68"/>
        <v>45.014600000000002</v>
      </c>
      <c r="BH211" s="80">
        <v>15</v>
      </c>
      <c r="BI211" s="81">
        <v>3.63</v>
      </c>
    </row>
    <row r="212" spans="14:61">
      <c r="N212" s="123" t="s">
        <v>416</v>
      </c>
      <c r="O212" s="80">
        <v>107</v>
      </c>
      <c r="P212" s="124">
        <v>25.47</v>
      </c>
      <c r="Q212" s="124">
        <v>1.59</v>
      </c>
      <c r="R212" s="133">
        <v>13.265000000000001</v>
      </c>
      <c r="S212" s="124">
        <v>2.85</v>
      </c>
      <c r="T212" s="80">
        <v>3.625</v>
      </c>
      <c r="U212" s="80">
        <v>1.375</v>
      </c>
      <c r="V212" s="80">
        <v>2.2999999999999998</v>
      </c>
      <c r="W212" s="125" t="s">
        <v>127</v>
      </c>
      <c r="X212" s="35">
        <f t="shared" si="52"/>
        <v>12.433962264150942</v>
      </c>
      <c r="Y212" s="36">
        <f t="shared" si="53"/>
        <v>3.8695025061873354</v>
      </c>
      <c r="Z212" s="80">
        <v>0.67</v>
      </c>
      <c r="AA212" s="80">
        <v>10800</v>
      </c>
      <c r="AB212" s="124">
        <v>846</v>
      </c>
      <c r="AC212" s="80">
        <v>10</v>
      </c>
      <c r="AD212" s="80">
        <v>1120</v>
      </c>
      <c r="AE212" s="124">
        <v>168</v>
      </c>
      <c r="AF212" s="80">
        <v>3.23</v>
      </c>
      <c r="AG212" s="81">
        <v>1010</v>
      </c>
      <c r="AH212" s="80">
        <v>263</v>
      </c>
      <c r="AI212" s="81">
        <v>225</v>
      </c>
      <c r="AJ212" s="80">
        <v>142000</v>
      </c>
      <c r="AK212" s="80">
        <v>75</v>
      </c>
      <c r="AL212" s="80">
        <v>709</v>
      </c>
      <c r="AM212" s="80">
        <v>189</v>
      </c>
      <c r="AN212" s="80">
        <v>505</v>
      </c>
      <c r="AO212" s="125" t="s">
        <v>415</v>
      </c>
      <c r="AP212" s="126" t="s">
        <v>69</v>
      </c>
      <c r="AQ212" s="40">
        <f t="shared" si="54"/>
        <v>136.90811372303688</v>
      </c>
      <c r="AR212" s="41">
        <f t="shared" si="64"/>
        <v>22.619999999999997</v>
      </c>
      <c r="AS212" s="37">
        <f t="shared" si="55"/>
        <v>967.0786819275196</v>
      </c>
      <c r="AT212" s="42">
        <f t="shared" si="56"/>
        <v>50500</v>
      </c>
      <c r="AU212" s="31">
        <f t="shared" si="57"/>
        <v>29610</v>
      </c>
      <c r="AV212" s="31">
        <f t="shared" si="58"/>
        <v>25.163503501673766</v>
      </c>
      <c r="AW212" s="37">
        <f t="shared" si="59"/>
        <v>17755.021333253484</v>
      </c>
      <c r="AX212" s="31">
        <f t="shared" si="60"/>
        <v>136.90811372303688</v>
      </c>
      <c r="AY212" s="42">
        <f t="shared" si="61"/>
        <v>53552.537144451075</v>
      </c>
      <c r="AZ212" s="42">
        <f t="shared" si="65"/>
        <v>15020748.047932448</v>
      </c>
      <c r="BA212" s="42">
        <f t="shared" si="62"/>
        <v>56672.058748834243</v>
      </c>
      <c r="BB212" s="42">
        <f t="shared" si="63"/>
        <v>13150</v>
      </c>
      <c r="BC212" s="38">
        <f t="shared" si="66"/>
        <v>21.844999999999999</v>
      </c>
      <c r="BD212" s="38">
        <f t="shared" si="67"/>
        <v>13.738993710691823</v>
      </c>
      <c r="BE212" s="38">
        <f t="shared" si="68"/>
        <v>40.497300000000003</v>
      </c>
      <c r="BH212" s="80">
        <v>16</v>
      </c>
      <c r="BI212" s="81">
        <v>3.59</v>
      </c>
    </row>
    <row r="213" spans="14:61">
      <c r="N213" s="123" t="s">
        <v>417</v>
      </c>
      <c r="O213" s="80">
        <v>97.9</v>
      </c>
      <c r="P213" s="124">
        <v>25</v>
      </c>
      <c r="Q213" s="124">
        <v>1.46</v>
      </c>
      <c r="R213" s="154">
        <v>13.13</v>
      </c>
      <c r="S213" s="124">
        <v>2.62</v>
      </c>
      <c r="T213" s="80">
        <v>3.375</v>
      </c>
      <c r="U213" s="80">
        <v>1.3125</v>
      </c>
      <c r="V213" s="80">
        <v>2.5</v>
      </c>
      <c r="W213" s="125" t="s">
        <v>127</v>
      </c>
      <c r="X213" s="35">
        <f t="shared" si="52"/>
        <v>13.534246575342465</v>
      </c>
      <c r="Y213" s="36">
        <f t="shared" si="53"/>
        <v>3.8031641059997856</v>
      </c>
      <c r="Z213" s="80">
        <v>0.73</v>
      </c>
      <c r="AA213" s="80">
        <v>9610</v>
      </c>
      <c r="AB213" s="124">
        <v>769</v>
      </c>
      <c r="AC213" s="80">
        <v>9.91</v>
      </c>
      <c r="AD213" s="80">
        <v>994</v>
      </c>
      <c r="AE213" s="124">
        <v>151</v>
      </c>
      <c r="AF213" s="80">
        <v>3.19</v>
      </c>
      <c r="AG213" s="81">
        <v>915</v>
      </c>
      <c r="AH213" s="80">
        <v>237</v>
      </c>
      <c r="AI213" s="81">
        <v>174</v>
      </c>
      <c r="AJ213" s="80">
        <v>124000</v>
      </c>
      <c r="AK213" s="80">
        <v>73.5</v>
      </c>
      <c r="AL213" s="80">
        <v>632</v>
      </c>
      <c r="AM213" s="80">
        <v>172</v>
      </c>
      <c r="AN213" s="80">
        <v>457</v>
      </c>
      <c r="AO213" s="125" t="s">
        <v>415</v>
      </c>
      <c r="AP213" s="126" t="s">
        <v>69</v>
      </c>
      <c r="AQ213" s="40">
        <f t="shared" si="54"/>
        <v>135.21265720634293</v>
      </c>
      <c r="AR213" s="41">
        <f t="shared" si="64"/>
        <v>22.38</v>
      </c>
      <c r="AS213" s="37">
        <f t="shared" si="55"/>
        <v>884.00778515465595</v>
      </c>
      <c r="AT213" s="42">
        <f t="shared" si="56"/>
        <v>45750</v>
      </c>
      <c r="AU213" s="31">
        <f t="shared" si="57"/>
        <v>26915</v>
      </c>
      <c r="AV213" s="31">
        <f t="shared" si="58"/>
        <v>25.153742722134965</v>
      </c>
      <c r="AW213" s="37">
        <f t="shared" si="59"/>
        <v>17137.61767609719</v>
      </c>
      <c r="AX213" s="31">
        <f t="shared" si="60"/>
        <v>135.21265720634293</v>
      </c>
      <c r="AY213" s="42">
        <f t="shared" si="61"/>
        <v>48758.706005679276</v>
      </c>
      <c r="AZ213" s="42">
        <f t="shared" si="65"/>
        <v>13178827.992918739</v>
      </c>
      <c r="BA213" s="42">
        <f t="shared" si="62"/>
        <v>51314.898350133699</v>
      </c>
      <c r="BB213" s="42">
        <f t="shared" si="63"/>
        <v>11850</v>
      </c>
      <c r="BC213" s="38">
        <f t="shared" si="66"/>
        <v>21.625</v>
      </c>
      <c r="BD213" s="38">
        <f t="shared" si="67"/>
        <v>14.811643835616438</v>
      </c>
      <c r="BE213" s="38">
        <f t="shared" si="68"/>
        <v>36.5</v>
      </c>
      <c r="BH213" s="80">
        <v>17.100000000000001</v>
      </c>
      <c r="BI213" s="81">
        <v>3.55</v>
      </c>
    </row>
    <row r="214" spans="14:61">
      <c r="N214" s="123" t="s">
        <v>418</v>
      </c>
      <c r="O214" s="80">
        <v>88.2</v>
      </c>
      <c r="P214" s="124">
        <v>24.53</v>
      </c>
      <c r="Q214" s="124">
        <v>1.32</v>
      </c>
      <c r="R214" s="154">
        <v>12.99</v>
      </c>
      <c r="S214" s="124">
        <v>2.38</v>
      </c>
      <c r="T214" s="80">
        <v>3.125</v>
      </c>
      <c r="U214" s="80">
        <v>1.25</v>
      </c>
      <c r="V214" s="80">
        <v>2.7</v>
      </c>
      <c r="W214" s="125" t="s">
        <v>127</v>
      </c>
      <c r="X214" s="35">
        <f t="shared" si="52"/>
        <v>14.977272727272728</v>
      </c>
      <c r="Y214" s="36">
        <f t="shared" si="53"/>
        <v>3.7378850546908104</v>
      </c>
      <c r="Z214" s="80">
        <v>0.78</v>
      </c>
      <c r="AA214" s="80">
        <v>8480</v>
      </c>
      <c r="AB214" s="124">
        <v>692</v>
      </c>
      <c r="AC214" s="80">
        <v>9.81</v>
      </c>
      <c r="AD214" s="80">
        <v>873</v>
      </c>
      <c r="AE214" s="124">
        <v>134</v>
      </c>
      <c r="AF214" s="80">
        <v>3.15</v>
      </c>
      <c r="AG214" s="81">
        <v>816</v>
      </c>
      <c r="AH214" s="80">
        <v>210</v>
      </c>
      <c r="AI214" s="81">
        <v>130</v>
      </c>
      <c r="AJ214" s="80">
        <v>107000</v>
      </c>
      <c r="AK214" s="80">
        <v>71.900000000000006</v>
      </c>
      <c r="AL214" s="80">
        <v>556</v>
      </c>
      <c r="AM214" s="80">
        <v>154</v>
      </c>
      <c r="AN214" s="80">
        <v>408</v>
      </c>
      <c r="AO214" s="125" t="s">
        <v>415</v>
      </c>
      <c r="AP214" s="126" t="s">
        <v>69</v>
      </c>
      <c r="AQ214" s="40">
        <f t="shared" si="54"/>
        <v>133.51720068964897</v>
      </c>
      <c r="AR214" s="41">
        <f t="shared" si="64"/>
        <v>22.150000000000002</v>
      </c>
      <c r="AS214" s="37">
        <f t="shared" si="55"/>
        <v>799.49097183594381</v>
      </c>
      <c r="AT214" s="42">
        <f t="shared" si="56"/>
        <v>40800</v>
      </c>
      <c r="AU214" s="31">
        <f t="shared" si="57"/>
        <v>24220</v>
      </c>
      <c r="AV214" s="31">
        <f t="shared" si="58"/>
        <v>24.895875360769818</v>
      </c>
      <c r="AW214" s="37">
        <f t="shared" si="59"/>
        <v>16540.087032904401</v>
      </c>
      <c r="AX214" s="31">
        <f t="shared" si="60"/>
        <v>133.51720068964897</v>
      </c>
      <c r="AY214" s="42">
        <f t="shared" si="61"/>
        <v>43735.651931260385</v>
      </c>
      <c r="AZ214" s="42">
        <f t="shared" si="65"/>
        <v>11445740.226769846</v>
      </c>
      <c r="BA214" s="42">
        <f t="shared" si="62"/>
        <v>45698.646915063277</v>
      </c>
      <c r="BB214" s="42">
        <f t="shared" si="63"/>
        <v>10500</v>
      </c>
      <c r="BC214" s="38">
        <f t="shared" si="66"/>
        <v>21.405000000000001</v>
      </c>
      <c r="BD214" s="38">
        <f t="shared" si="67"/>
        <v>16.21590909090909</v>
      </c>
      <c r="BE214" s="38">
        <f t="shared" si="68"/>
        <v>32.379600000000003</v>
      </c>
      <c r="BH214" s="80">
        <v>18.600000000000001</v>
      </c>
      <c r="BI214" s="81">
        <v>3.51</v>
      </c>
    </row>
    <row r="215" spans="14:61">
      <c r="N215" s="123" t="s">
        <v>419</v>
      </c>
      <c r="O215" s="80">
        <v>80.8</v>
      </c>
      <c r="P215" s="124">
        <v>24.13</v>
      </c>
      <c r="Q215" s="124">
        <v>1.22</v>
      </c>
      <c r="R215" s="154">
        <v>12.89</v>
      </c>
      <c r="S215" s="124">
        <v>2.19</v>
      </c>
      <c r="T215" s="80">
        <v>3</v>
      </c>
      <c r="U215" s="80">
        <v>1.1875</v>
      </c>
      <c r="V215" s="80">
        <v>2.9</v>
      </c>
      <c r="W215" s="125" t="s">
        <v>127</v>
      </c>
      <c r="X215" s="35">
        <f t="shared" si="52"/>
        <v>16.188524590163937</v>
      </c>
      <c r="Y215" s="36">
        <f t="shared" si="53"/>
        <v>3.691302212677317</v>
      </c>
      <c r="Z215" s="80">
        <v>0.85</v>
      </c>
      <c r="AA215" s="80">
        <v>7620</v>
      </c>
      <c r="AB215" s="124">
        <v>632</v>
      </c>
      <c r="AC215" s="80">
        <v>9.7100000000000009</v>
      </c>
      <c r="AD215" s="80">
        <v>785</v>
      </c>
      <c r="AE215" s="124">
        <v>122</v>
      </c>
      <c r="AF215" s="80">
        <v>3.12</v>
      </c>
      <c r="AG215" s="81">
        <v>741</v>
      </c>
      <c r="AH215" s="80">
        <v>189</v>
      </c>
      <c r="AI215" s="81">
        <v>101</v>
      </c>
      <c r="AJ215" s="80">
        <v>94100</v>
      </c>
      <c r="AK215" s="80">
        <v>70.7</v>
      </c>
      <c r="AL215" s="80">
        <v>499</v>
      </c>
      <c r="AM215" s="80">
        <v>141</v>
      </c>
      <c r="AN215" s="80">
        <v>370</v>
      </c>
      <c r="AO215" s="125" t="s">
        <v>415</v>
      </c>
      <c r="AP215" s="126" t="s">
        <v>69</v>
      </c>
      <c r="AQ215" s="40">
        <f t="shared" si="54"/>
        <v>132.24560830212852</v>
      </c>
      <c r="AR215" s="41">
        <f t="shared" si="64"/>
        <v>21.939999999999998</v>
      </c>
      <c r="AS215" s="37">
        <f t="shared" si="55"/>
        <v>735.66714557568071</v>
      </c>
      <c r="AT215" s="42">
        <f t="shared" si="56"/>
        <v>37050</v>
      </c>
      <c r="AU215" s="31">
        <f t="shared" si="57"/>
        <v>22120</v>
      </c>
      <c r="AV215" s="31">
        <f t="shared" si="58"/>
        <v>24.742239177372461</v>
      </c>
      <c r="AW215" s="37">
        <f t="shared" si="59"/>
        <v>16119.428916156017</v>
      </c>
      <c r="AX215" s="31">
        <f t="shared" si="60"/>
        <v>132.24560830212852</v>
      </c>
      <c r="AY215" s="42">
        <f t="shared" si="61"/>
        <v>39936.07353960137</v>
      </c>
      <c r="AZ215" s="42">
        <f t="shared" si="65"/>
        <v>10187479.075010603</v>
      </c>
      <c r="BA215" s="42">
        <f t="shared" si="62"/>
        <v>41461.145865011742</v>
      </c>
      <c r="BB215" s="42">
        <f t="shared" si="63"/>
        <v>9450</v>
      </c>
      <c r="BC215" s="38">
        <f t="shared" si="66"/>
        <v>21.13</v>
      </c>
      <c r="BD215" s="38">
        <f t="shared" si="67"/>
        <v>17.319672131147541</v>
      </c>
      <c r="BE215" s="38">
        <f t="shared" si="68"/>
        <v>29.438599999999997</v>
      </c>
      <c r="BH215" s="80">
        <v>19.8</v>
      </c>
      <c r="BI215" s="81">
        <v>3.48</v>
      </c>
    </row>
    <row r="216" spans="14:61">
      <c r="N216" s="123" t="s">
        <v>420</v>
      </c>
      <c r="O216" s="80">
        <v>72.8</v>
      </c>
      <c r="P216" s="124">
        <v>23.74</v>
      </c>
      <c r="Q216" s="124">
        <v>1.1000000000000001</v>
      </c>
      <c r="R216" s="133">
        <v>12.775</v>
      </c>
      <c r="S216" s="124">
        <v>1.99</v>
      </c>
      <c r="T216" s="80">
        <v>2.75</v>
      </c>
      <c r="U216" s="80">
        <v>1.125</v>
      </c>
      <c r="V216" s="80">
        <v>3.2</v>
      </c>
      <c r="W216" s="125" t="s">
        <v>127</v>
      </c>
      <c r="X216" s="35">
        <f t="shared" si="52"/>
        <v>17.963636363636361</v>
      </c>
      <c r="Y216" s="36">
        <f t="shared" si="53"/>
        <v>3.6419856883236523</v>
      </c>
      <c r="Z216" s="80">
        <v>0.94</v>
      </c>
      <c r="AA216" s="80">
        <v>6760</v>
      </c>
      <c r="AB216" s="124">
        <v>569</v>
      </c>
      <c r="AC216" s="80">
        <v>9.6300000000000008</v>
      </c>
      <c r="AD216" s="80">
        <v>694</v>
      </c>
      <c r="AE216" s="124">
        <v>109</v>
      </c>
      <c r="AF216" s="80">
        <v>3.09</v>
      </c>
      <c r="AG216" s="81">
        <v>663</v>
      </c>
      <c r="AH216" s="80">
        <v>169</v>
      </c>
      <c r="AI216" s="81">
        <v>75.2</v>
      </c>
      <c r="AJ216" s="80">
        <v>81800</v>
      </c>
      <c r="AK216" s="80">
        <v>69.5</v>
      </c>
      <c r="AL216" s="80">
        <v>441</v>
      </c>
      <c r="AM216" s="80">
        <v>127</v>
      </c>
      <c r="AN216" s="80">
        <v>331</v>
      </c>
      <c r="AO216" s="125" t="s">
        <v>415</v>
      </c>
      <c r="AP216" s="126" t="s">
        <v>69</v>
      </c>
      <c r="AQ216" s="40">
        <f t="shared" si="54"/>
        <v>130.97401591460803</v>
      </c>
      <c r="AR216" s="41">
        <f t="shared" si="64"/>
        <v>21.75</v>
      </c>
      <c r="AS216" s="37">
        <f t="shared" si="55"/>
        <v>668.73403346070722</v>
      </c>
      <c r="AT216" s="42">
        <f t="shared" si="56"/>
        <v>33150</v>
      </c>
      <c r="AU216" s="31">
        <f t="shared" si="57"/>
        <v>19915</v>
      </c>
      <c r="AV216" s="31">
        <f t="shared" si="58"/>
        <v>24.611349985433673</v>
      </c>
      <c r="AW216" s="37">
        <f t="shared" si="59"/>
        <v>15680.311156163376</v>
      </c>
      <c r="AX216" s="31">
        <f t="shared" si="60"/>
        <v>130.97401591460803</v>
      </c>
      <c r="AY216" s="42">
        <f t="shared" si="61"/>
        <v>35989.510284899414</v>
      </c>
      <c r="AZ216" s="42">
        <f t="shared" si="65"/>
        <v>8922097.0478569604</v>
      </c>
      <c r="BA216" s="42">
        <f t="shared" si="62"/>
        <v>37060.349331776983</v>
      </c>
      <c r="BB216" s="42">
        <f t="shared" si="63"/>
        <v>8450</v>
      </c>
      <c r="BC216" s="38">
        <f t="shared" si="66"/>
        <v>20.99</v>
      </c>
      <c r="BD216" s="38">
        <f t="shared" si="67"/>
        <v>19.081818181818178</v>
      </c>
      <c r="BE216" s="38">
        <f t="shared" si="68"/>
        <v>26.114000000000001</v>
      </c>
      <c r="BH216" s="80">
        <v>21.6</v>
      </c>
      <c r="BI216" s="81">
        <v>3.45</v>
      </c>
    </row>
    <row r="217" spans="14:61">
      <c r="N217" s="123" t="s">
        <v>421</v>
      </c>
      <c r="O217" s="80">
        <v>65.400000000000006</v>
      </c>
      <c r="P217" s="124">
        <v>23.35</v>
      </c>
      <c r="Q217" s="124">
        <v>1</v>
      </c>
      <c r="R217" s="133">
        <v>12.675000000000001</v>
      </c>
      <c r="S217" s="124">
        <v>1.79</v>
      </c>
      <c r="T217" s="80">
        <v>2.5625</v>
      </c>
      <c r="U217" s="80">
        <v>1.0625</v>
      </c>
      <c r="V217" s="80">
        <v>3.5</v>
      </c>
      <c r="W217" s="125" t="s">
        <v>127</v>
      </c>
      <c r="X217" s="35">
        <f t="shared" si="52"/>
        <v>19.770000000000003</v>
      </c>
      <c r="Y217" s="36">
        <f t="shared" si="53"/>
        <v>3.587838936643355</v>
      </c>
      <c r="Z217" s="80">
        <v>1.02</v>
      </c>
      <c r="AA217" s="80">
        <v>5950</v>
      </c>
      <c r="AB217" s="124">
        <v>510</v>
      </c>
      <c r="AC217" s="80">
        <v>9.5399999999999991</v>
      </c>
      <c r="AD217" s="80">
        <v>609</v>
      </c>
      <c r="AE217" s="124">
        <v>96.1</v>
      </c>
      <c r="AF217" s="80">
        <v>3.05</v>
      </c>
      <c r="AG217" s="81">
        <v>589</v>
      </c>
      <c r="AH217" s="80">
        <v>149</v>
      </c>
      <c r="AI217" s="81">
        <v>54.9</v>
      </c>
      <c r="AJ217" s="80">
        <v>70600</v>
      </c>
      <c r="AK217" s="80">
        <v>68.3</v>
      </c>
      <c r="AL217" s="80">
        <v>388</v>
      </c>
      <c r="AM217" s="80">
        <v>113</v>
      </c>
      <c r="AN217" s="80">
        <v>295</v>
      </c>
      <c r="AO217" s="125" t="s">
        <v>415</v>
      </c>
      <c r="AP217" s="126" t="s">
        <v>69</v>
      </c>
      <c r="AQ217" s="40">
        <f t="shared" si="54"/>
        <v>129.27855939791408</v>
      </c>
      <c r="AR217" s="41">
        <f t="shared" si="64"/>
        <v>21.560000000000002</v>
      </c>
      <c r="AS217" s="37">
        <f t="shared" si="55"/>
        <v>604.93882624510388</v>
      </c>
      <c r="AT217" s="42">
        <f t="shared" si="56"/>
        <v>29450</v>
      </c>
      <c r="AU217" s="31">
        <f t="shared" si="57"/>
        <v>17850</v>
      </c>
      <c r="AV217" s="31">
        <f t="shared" si="58"/>
        <v>24.387153623084952</v>
      </c>
      <c r="AW217" s="37">
        <f t="shared" si="59"/>
        <v>15207.466630027275</v>
      </c>
      <c r="AX217" s="31">
        <f t="shared" si="60"/>
        <v>129.27855939791408</v>
      </c>
      <c r="AY217" s="42">
        <f t="shared" si="61"/>
        <v>32222.296491687917</v>
      </c>
      <c r="AZ217" s="42">
        <f t="shared" si="65"/>
        <v>7755807.9813139103</v>
      </c>
      <c r="BA217" s="42">
        <f t="shared" si="62"/>
        <v>32877.280109453197</v>
      </c>
      <c r="BB217" s="42">
        <f t="shared" si="63"/>
        <v>7450</v>
      </c>
      <c r="BC217" s="38">
        <f t="shared" si="66"/>
        <v>20.787500000000001</v>
      </c>
      <c r="BD217" s="38">
        <f t="shared" si="67"/>
        <v>20.787500000000001</v>
      </c>
      <c r="BE217" s="38">
        <f t="shared" si="68"/>
        <v>23.35</v>
      </c>
      <c r="BH217" s="80">
        <v>23.4</v>
      </c>
      <c r="BI217" s="81">
        <v>3.41</v>
      </c>
    </row>
    <row r="218" spans="14:61">
      <c r="N218" s="30" t="s">
        <v>422</v>
      </c>
      <c r="O218" s="40">
        <v>59.2</v>
      </c>
      <c r="P218" s="128">
        <v>23</v>
      </c>
      <c r="Q218" s="128">
        <v>0.91</v>
      </c>
      <c r="R218" s="128">
        <v>12.6</v>
      </c>
      <c r="S218" s="128">
        <v>1.63</v>
      </c>
      <c r="T218" s="40">
        <v>2.13</v>
      </c>
      <c r="U218" s="132">
        <v>1.3125</v>
      </c>
      <c r="V218" s="40">
        <v>3.86</v>
      </c>
      <c r="W218" s="84" t="s">
        <v>127</v>
      </c>
      <c r="X218" s="35">
        <f t="shared" si="52"/>
        <v>21.692307692307693</v>
      </c>
      <c r="Y218" s="36">
        <f t="shared" si="53"/>
        <v>3.5443487143776684</v>
      </c>
      <c r="Z218" s="34">
        <v>1.1200000000000001</v>
      </c>
      <c r="AA218" s="40">
        <v>5310</v>
      </c>
      <c r="AB218" s="128">
        <v>461</v>
      </c>
      <c r="AC218" s="40">
        <v>9.4700000000000006</v>
      </c>
      <c r="AD218" s="40">
        <v>542</v>
      </c>
      <c r="AE218" s="128">
        <v>86.1</v>
      </c>
      <c r="AF218" s="40">
        <v>3.02</v>
      </c>
      <c r="AG218" s="41">
        <v>530</v>
      </c>
      <c r="AH218" s="40">
        <v>133</v>
      </c>
      <c r="AI218" s="41">
        <v>40.9</v>
      </c>
      <c r="AJ218" s="40">
        <v>62100</v>
      </c>
      <c r="AK218" s="40">
        <v>67.3</v>
      </c>
      <c r="AL218" s="40">
        <v>345</v>
      </c>
      <c r="AM218" s="40">
        <v>102</v>
      </c>
      <c r="AN218" s="40">
        <v>264</v>
      </c>
      <c r="AO218" s="134" t="s">
        <v>423</v>
      </c>
      <c r="AP218" s="39" t="s">
        <v>69</v>
      </c>
      <c r="AQ218" s="40">
        <f t="shared" si="54"/>
        <v>128.00696701039362</v>
      </c>
      <c r="AR218" s="41">
        <f t="shared" si="64"/>
        <v>21.37</v>
      </c>
      <c r="AS218" s="37">
        <f t="shared" si="55"/>
        <v>553.91038289086907</v>
      </c>
      <c r="AT218" s="42">
        <f t="shared" si="56"/>
        <v>26500</v>
      </c>
      <c r="AU218" s="31">
        <f t="shared" si="57"/>
        <v>16135</v>
      </c>
      <c r="AV218" s="31">
        <f t="shared" si="58"/>
        <v>24.336503567533747</v>
      </c>
      <c r="AW218" s="37">
        <f t="shared" si="59"/>
        <v>14832.997465672637</v>
      </c>
      <c r="AX218" s="31">
        <f t="shared" si="60"/>
        <v>128.00696701039362</v>
      </c>
      <c r="AY218" s="42">
        <f t="shared" si="61"/>
        <v>29235.592553664093</v>
      </c>
      <c r="AZ218" s="42">
        <f t="shared" si="65"/>
        <v>6838011.8316750862</v>
      </c>
      <c r="BA218" s="42">
        <f t="shared" si="62"/>
        <v>29562.392959869168</v>
      </c>
      <c r="BB218" s="42">
        <f t="shared" si="63"/>
        <v>6650</v>
      </c>
      <c r="BC218" s="38">
        <f t="shared" si="66"/>
        <v>20.87</v>
      </c>
      <c r="BD218" s="38">
        <f t="shared" si="67"/>
        <v>22.934065934065934</v>
      </c>
      <c r="BE218" s="38">
        <f t="shared" si="68"/>
        <v>20.93</v>
      </c>
      <c r="BH218" s="34">
        <v>25.3</v>
      </c>
      <c r="BI218" s="43">
        <v>3.38</v>
      </c>
    </row>
    <row r="219" spans="14:61">
      <c r="N219" s="30" t="s">
        <v>424</v>
      </c>
      <c r="O219" s="40">
        <v>53.6</v>
      </c>
      <c r="P219" s="128">
        <v>22.7</v>
      </c>
      <c r="Q219" s="128">
        <v>0.83</v>
      </c>
      <c r="R219" s="128">
        <v>12.5</v>
      </c>
      <c r="S219" s="128">
        <v>1.48</v>
      </c>
      <c r="T219" s="40">
        <v>1.98</v>
      </c>
      <c r="U219" s="132">
        <v>1.25</v>
      </c>
      <c r="V219" s="40">
        <v>4.22</v>
      </c>
      <c r="W219" s="84" t="s">
        <v>127</v>
      </c>
      <c r="X219" s="35">
        <f t="shared" si="52"/>
        <v>23.783132530120483</v>
      </c>
      <c r="Y219" s="36">
        <f t="shared" si="53"/>
        <v>3.5056070195530427</v>
      </c>
      <c r="Z219" s="34">
        <v>1.23</v>
      </c>
      <c r="AA219" s="40">
        <v>4730</v>
      </c>
      <c r="AB219" s="128">
        <v>417</v>
      </c>
      <c r="AC219" s="40">
        <v>9.4</v>
      </c>
      <c r="AD219" s="40">
        <v>483</v>
      </c>
      <c r="AE219" s="128">
        <v>77.2</v>
      </c>
      <c r="AF219" s="40">
        <v>3</v>
      </c>
      <c r="AG219" s="41">
        <v>476</v>
      </c>
      <c r="AH219" s="40">
        <v>119</v>
      </c>
      <c r="AI219" s="41">
        <v>30.7</v>
      </c>
      <c r="AJ219" s="40">
        <v>54500</v>
      </c>
      <c r="AK219" s="40">
        <v>66.400000000000006</v>
      </c>
      <c r="AL219" s="40">
        <v>307</v>
      </c>
      <c r="AM219" s="40">
        <v>91.7</v>
      </c>
      <c r="AN219" s="40">
        <v>237</v>
      </c>
      <c r="AO219" s="134" t="s">
        <v>423</v>
      </c>
      <c r="AP219" s="39" t="s">
        <v>69</v>
      </c>
      <c r="AQ219" s="40">
        <f t="shared" si="54"/>
        <v>127.15923875204665</v>
      </c>
      <c r="AR219" s="41">
        <f t="shared" si="64"/>
        <v>21.22</v>
      </c>
      <c r="AS219" s="37">
        <f t="shared" si="55"/>
        <v>511.2546928330807</v>
      </c>
      <c r="AT219" s="42">
        <f t="shared" si="56"/>
        <v>23800</v>
      </c>
      <c r="AU219" s="31">
        <f t="shared" si="57"/>
        <v>14595</v>
      </c>
      <c r="AV219" s="31">
        <f t="shared" si="58"/>
        <v>23.965396888185992</v>
      </c>
      <c r="AW219" s="37">
        <f t="shared" si="59"/>
        <v>14503.910204164191</v>
      </c>
      <c r="AX219" s="31">
        <f t="shared" si="60"/>
        <v>127.15923875204665</v>
      </c>
      <c r="AY219" s="42">
        <f t="shared" si="61"/>
        <v>26473.561433236697</v>
      </c>
      <c r="AZ219" s="42">
        <f t="shared" si="65"/>
        <v>6048130.5551364673</v>
      </c>
      <c r="BA219" s="42">
        <f t="shared" si="62"/>
        <v>26519.664948923848</v>
      </c>
      <c r="BB219" s="42">
        <f t="shared" si="63"/>
        <v>5950</v>
      </c>
      <c r="BC219" s="38">
        <f t="shared" si="66"/>
        <v>20.72</v>
      </c>
      <c r="BD219" s="38">
        <f t="shared" si="67"/>
        <v>24.963855421686748</v>
      </c>
      <c r="BE219" s="38">
        <f t="shared" si="68"/>
        <v>18.840999999999998</v>
      </c>
      <c r="BH219" s="34">
        <v>27.4</v>
      </c>
      <c r="BI219" s="43">
        <v>3.36</v>
      </c>
    </row>
    <row r="220" spans="14:61">
      <c r="N220" s="30" t="s">
        <v>425</v>
      </c>
      <c r="O220" s="40">
        <v>48.8</v>
      </c>
      <c r="P220" s="128">
        <v>22.5</v>
      </c>
      <c r="Q220" s="128">
        <v>0.75</v>
      </c>
      <c r="R220" s="128">
        <v>12.4</v>
      </c>
      <c r="S220" s="128">
        <v>1.36</v>
      </c>
      <c r="T220" s="40">
        <v>1.86</v>
      </c>
      <c r="U220" s="132">
        <v>1.1875</v>
      </c>
      <c r="V220" s="40">
        <v>4.57</v>
      </c>
      <c r="W220" s="84" t="s">
        <v>127</v>
      </c>
      <c r="X220" s="35">
        <f t="shared" si="52"/>
        <v>26.373333333333335</v>
      </c>
      <c r="Y220" s="36">
        <f t="shared" si="53"/>
        <v>3.4784865129898996</v>
      </c>
      <c r="Z220" s="34">
        <v>1.33</v>
      </c>
      <c r="AA220" s="40">
        <v>4280</v>
      </c>
      <c r="AB220" s="128">
        <v>380</v>
      </c>
      <c r="AC220" s="40">
        <v>9.36</v>
      </c>
      <c r="AD220" s="40">
        <v>435</v>
      </c>
      <c r="AE220" s="128">
        <v>70</v>
      </c>
      <c r="AF220" s="40">
        <v>2.99</v>
      </c>
      <c r="AG220" s="41">
        <v>432</v>
      </c>
      <c r="AH220" s="40">
        <v>108</v>
      </c>
      <c r="AI220" s="41">
        <v>23.6</v>
      </c>
      <c r="AJ220" s="40">
        <v>48500</v>
      </c>
      <c r="AK220" s="40">
        <v>65.599999999999994</v>
      </c>
      <c r="AL220" s="40">
        <v>277</v>
      </c>
      <c r="AM220" s="40">
        <v>83.8</v>
      </c>
      <c r="AN220" s="40">
        <v>215</v>
      </c>
      <c r="AO220" s="134" t="s">
        <v>423</v>
      </c>
      <c r="AP220" s="39" t="s">
        <v>69</v>
      </c>
      <c r="AQ220" s="40">
        <f t="shared" si="54"/>
        <v>126.73537462287317</v>
      </c>
      <c r="AR220" s="41">
        <f t="shared" si="64"/>
        <v>21.14</v>
      </c>
      <c r="AS220" s="37">
        <f t="shared" si="55"/>
        <v>478.09499795006565</v>
      </c>
      <c r="AT220" s="42">
        <f t="shared" si="56"/>
        <v>21600</v>
      </c>
      <c r="AU220" s="31">
        <f t="shared" si="57"/>
        <v>13300</v>
      </c>
      <c r="AV220" s="31">
        <f t="shared" si="58"/>
        <v>23.622520770609118</v>
      </c>
      <c r="AW220" s="37">
        <f t="shared" si="59"/>
        <v>14275.036145532171</v>
      </c>
      <c r="AX220" s="31">
        <f t="shared" si="60"/>
        <v>126.73537462287317</v>
      </c>
      <c r="AY220" s="42">
        <f t="shared" si="61"/>
        <v>24225.297695378245</v>
      </c>
      <c r="AZ220" s="42">
        <f t="shared" si="65"/>
        <v>5424513.7353022248</v>
      </c>
      <c r="BA220" s="42">
        <f t="shared" si="62"/>
        <v>24052.278009350131</v>
      </c>
      <c r="BB220" s="42">
        <f t="shared" si="63"/>
        <v>5400</v>
      </c>
      <c r="BC220" s="38">
        <f t="shared" si="66"/>
        <v>20.64</v>
      </c>
      <c r="BD220" s="38">
        <f t="shared" si="67"/>
        <v>27.52</v>
      </c>
      <c r="BE220" s="38">
        <f t="shared" si="68"/>
        <v>16.875</v>
      </c>
      <c r="BH220" s="34">
        <v>30</v>
      </c>
      <c r="BI220" s="43">
        <v>3.34</v>
      </c>
    </row>
    <row r="221" spans="14:61">
      <c r="N221" s="30" t="s">
        <v>426</v>
      </c>
      <c r="O221" s="40">
        <v>43.2</v>
      </c>
      <c r="P221" s="128">
        <v>22.1</v>
      </c>
      <c r="Q221" s="128">
        <v>0.72</v>
      </c>
      <c r="R221" s="128">
        <v>12.5</v>
      </c>
      <c r="S221" s="128">
        <v>1.1499999999999999</v>
      </c>
      <c r="T221" s="40">
        <v>1.65</v>
      </c>
      <c r="U221" s="132">
        <v>1.1875</v>
      </c>
      <c r="V221" s="40">
        <v>5.44</v>
      </c>
      <c r="W221" s="84" t="s">
        <v>127</v>
      </c>
      <c r="X221" s="35">
        <f t="shared" si="52"/>
        <v>27.500000000000004</v>
      </c>
      <c r="Y221" s="36">
        <f t="shared" si="53"/>
        <v>3.4599752269963688</v>
      </c>
      <c r="Z221" s="34">
        <v>1.53</v>
      </c>
      <c r="AA221" s="40">
        <v>3630</v>
      </c>
      <c r="AB221" s="128">
        <v>329</v>
      </c>
      <c r="AC221" s="40">
        <v>9.17</v>
      </c>
      <c r="AD221" s="40">
        <v>376</v>
      </c>
      <c r="AE221" s="128">
        <v>60.1</v>
      </c>
      <c r="AF221" s="40">
        <v>2.95</v>
      </c>
      <c r="AG221" s="41">
        <v>373</v>
      </c>
      <c r="AH221" s="40">
        <v>92.6</v>
      </c>
      <c r="AI221" s="41">
        <v>15.4</v>
      </c>
      <c r="AJ221" s="40">
        <v>41100</v>
      </c>
      <c r="AK221" s="40">
        <v>65.400000000000006</v>
      </c>
      <c r="AL221" s="40">
        <v>235</v>
      </c>
      <c r="AM221" s="40">
        <v>70.900000000000006</v>
      </c>
      <c r="AN221" s="40">
        <v>186</v>
      </c>
      <c r="AO221" s="134" t="s">
        <v>423</v>
      </c>
      <c r="AP221" s="39" t="s">
        <v>69</v>
      </c>
      <c r="AQ221" s="40">
        <f t="shared" si="54"/>
        <v>125.0399181061792</v>
      </c>
      <c r="AR221" s="41">
        <f t="shared" si="64"/>
        <v>20.950000000000003</v>
      </c>
      <c r="AS221" s="37">
        <f t="shared" si="55"/>
        <v>436.13179973906466</v>
      </c>
      <c r="AT221" s="42">
        <f t="shared" si="56"/>
        <v>18650</v>
      </c>
      <c r="AU221" s="31">
        <f t="shared" si="57"/>
        <v>11515</v>
      </c>
      <c r="AV221" s="31">
        <f t="shared" si="58"/>
        <v>22.935346183092939</v>
      </c>
      <c r="AW221" s="37">
        <f t="shared" si="59"/>
        <v>14116.011289007238</v>
      </c>
      <c r="AX221" s="31">
        <f t="shared" si="60"/>
        <v>125.0399181061792</v>
      </c>
      <c r="AY221" s="42">
        <f t="shared" si="61"/>
        <v>21160.04240801456</v>
      </c>
      <c r="AZ221" s="42">
        <f t="shared" si="65"/>
        <v>4644167.714083381</v>
      </c>
      <c r="BA221" s="42">
        <f t="shared" si="62"/>
        <v>20758.072722495563</v>
      </c>
      <c r="BB221" s="42">
        <f t="shared" si="63"/>
        <v>4630</v>
      </c>
      <c r="BC221" s="38">
        <f t="shared" si="66"/>
        <v>20.450000000000003</v>
      </c>
      <c r="BD221" s="38">
        <f t="shared" si="67"/>
        <v>28.402777777777782</v>
      </c>
      <c r="BE221" s="38">
        <f t="shared" si="68"/>
        <v>15.912000000000001</v>
      </c>
      <c r="BH221" s="34">
        <v>30.6</v>
      </c>
      <c r="BI221" s="43">
        <v>3.34</v>
      </c>
    </row>
    <row r="222" spans="14:61">
      <c r="N222" s="30" t="s">
        <v>427</v>
      </c>
      <c r="O222" s="40">
        <v>38.799999999999997</v>
      </c>
      <c r="P222" s="128">
        <v>21.8</v>
      </c>
      <c r="Q222" s="128">
        <v>0.65</v>
      </c>
      <c r="R222" s="128">
        <v>12.4</v>
      </c>
      <c r="S222" s="128">
        <v>1.03</v>
      </c>
      <c r="T222" s="40">
        <v>1.54</v>
      </c>
      <c r="U222" s="132">
        <v>1.125</v>
      </c>
      <c r="V222" s="40">
        <v>6.01</v>
      </c>
      <c r="W222" s="84" t="s">
        <v>127</v>
      </c>
      <c r="X222" s="35">
        <f t="shared" si="52"/>
        <v>30.369230769230771</v>
      </c>
      <c r="Y222" s="36">
        <f t="shared" si="53"/>
        <v>3.4238470780044077</v>
      </c>
      <c r="Z222" s="34">
        <v>1.7</v>
      </c>
      <c r="AA222" s="40">
        <v>3220</v>
      </c>
      <c r="AB222" s="128">
        <v>295</v>
      </c>
      <c r="AC222" s="40">
        <v>9.1199999999999992</v>
      </c>
      <c r="AD222" s="40">
        <v>333</v>
      </c>
      <c r="AE222" s="128">
        <v>53.5</v>
      </c>
      <c r="AF222" s="40">
        <v>2.93</v>
      </c>
      <c r="AG222" s="41">
        <v>333</v>
      </c>
      <c r="AH222" s="40">
        <v>82.3</v>
      </c>
      <c r="AI222" s="41">
        <v>11.3</v>
      </c>
      <c r="AJ222" s="40">
        <v>36000</v>
      </c>
      <c r="AK222" s="40">
        <v>64.7</v>
      </c>
      <c r="AL222" s="40">
        <v>208</v>
      </c>
      <c r="AM222" s="40">
        <v>63.4</v>
      </c>
      <c r="AN222" s="40">
        <v>166</v>
      </c>
      <c r="AO222" s="134" t="s">
        <v>423</v>
      </c>
      <c r="AP222" s="39" t="s">
        <v>69</v>
      </c>
      <c r="AQ222" s="40">
        <f t="shared" si="54"/>
        <v>124.19218984783224</v>
      </c>
      <c r="AR222" s="41">
        <f t="shared" si="64"/>
        <v>20.77</v>
      </c>
      <c r="AS222" s="37">
        <f t="shared" si="55"/>
        <v>409.66434546776446</v>
      </c>
      <c r="AT222" s="42">
        <f t="shared" si="56"/>
        <v>16650</v>
      </c>
      <c r="AU222" s="31">
        <f t="shared" si="57"/>
        <v>10325</v>
      </c>
      <c r="AV222" s="31">
        <f t="shared" si="58"/>
        <v>22.156276454579643</v>
      </c>
      <c r="AW222" s="37">
        <f t="shared" si="59"/>
        <v>13818.926409318605</v>
      </c>
      <c r="AX222" s="31">
        <f t="shared" si="60"/>
        <v>124.19218984783224</v>
      </c>
      <c r="AY222" s="42">
        <f t="shared" si="61"/>
        <v>19055.998579076768</v>
      </c>
      <c r="AZ222" s="42">
        <f t="shared" si="65"/>
        <v>4076583.2907489883</v>
      </c>
      <c r="BA222" s="42">
        <f t="shared" si="62"/>
        <v>18518.754025197541</v>
      </c>
      <c r="BB222" s="42">
        <f t="shared" si="63"/>
        <v>4115</v>
      </c>
      <c r="BC222" s="38">
        <f t="shared" si="66"/>
        <v>20.260000000000002</v>
      </c>
      <c r="BD222" s="38">
        <f t="shared" si="67"/>
        <v>31.169230769230772</v>
      </c>
      <c r="BE222" s="38">
        <f t="shared" si="68"/>
        <v>14.170000000000002</v>
      </c>
      <c r="BH222" s="34">
        <v>33.6</v>
      </c>
      <c r="BI222" s="43">
        <v>3.31</v>
      </c>
    </row>
    <row r="223" spans="14:61">
      <c r="N223" s="30" t="s">
        <v>428</v>
      </c>
      <c r="O223" s="40">
        <v>35.9</v>
      </c>
      <c r="P223" s="128">
        <v>21.7</v>
      </c>
      <c r="Q223" s="128">
        <v>0.6</v>
      </c>
      <c r="R223" s="128">
        <v>12.4</v>
      </c>
      <c r="S223" s="128">
        <v>0.96</v>
      </c>
      <c r="T223" s="40">
        <v>1.46</v>
      </c>
      <c r="U223" s="132">
        <v>1.125</v>
      </c>
      <c r="V223" s="40">
        <v>6.45</v>
      </c>
      <c r="W223" s="84" t="s">
        <v>127</v>
      </c>
      <c r="X223" s="35">
        <f t="shared" si="52"/>
        <v>32.966666666666669</v>
      </c>
      <c r="Y223" s="36">
        <f t="shared" si="53"/>
        <v>3.403752507972801</v>
      </c>
      <c r="Z223" s="34">
        <v>1.82</v>
      </c>
      <c r="AA223" s="40">
        <v>2960</v>
      </c>
      <c r="AB223" s="128">
        <v>273</v>
      </c>
      <c r="AC223" s="40">
        <v>9.09</v>
      </c>
      <c r="AD223" s="40">
        <v>305</v>
      </c>
      <c r="AE223" s="128">
        <v>49.2</v>
      </c>
      <c r="AF223" s="40">
        <v>2.92</v>
      </c>
      <c r="AG223" s="41">
        <v>307</v>
      </c>
      <c r="AH223" s="40">
        <v>75.599999999999994</v>
      </c>
      <c r="AI223" s="41">
        <v>8.98</v>
      </c>
      <c r="AJ223" s="40">
        <v>32700</v>
      </c>
      <c r="AK223" s="40">
        <v>64.2</v>
      </c>
      <c r="AL223" s="40">
        <v>191</v>
      </c>
      <c r="AM223" s="40">
        <v>58.6</v>
      </c>
      <c r="AN223" s="40">
        <v>153</v>
      </c>
      <c r="AO223" s="134" t="s">
        <v>423</v>
      </c>
      <c r="AP223" s="39" t="s">
        <v>69</v>
      </c>
      <c r="AQ223" s="40">
        <f t="shared" si="54"/>
        <v>123.76832571865873</v>
      </c>
      <c r="AR223" s="41">
        <f t="shared" si="64"/>
        <v>20.74</v>
      </c>
      <c r="AS223" s="37">
        <f t="shared" si="55"/>
        <v>392.81824962373855</v>
      </c>
      <c r="AT223" s="42">
        <f t="shared" si="56"/>
        <v>15350</v>
      </c>
      <c r="AU223" s="31">
        <f t="shared" si="57"/>
        <v>9555</v>
      </c>
      <c r="AV223" s="31">
        <f t="shared" si="58"/>
        <v>21.538753536479209</v>
      </c>
      <c r="AW223" s="37">
        <f t="shared" si="59"/>
        <v>13654.555589117645</v>
      </c>
      <c r="AX223" s="31">
        <f t="shared" si="60"/>
        <v>123.76832571865873</v>
      </c>
      <c r="AY223" s="42">
        <f t="shared" si="61"/>
        <v>17679.810908107796</v>
      </c>
      <c r="AZ223" s="42">
        <f t="shared" si="65"/>
        <v>3727693.6758291172</v>
      </c>
      <c r="BA223" s="42">
        <f t="shared" si="62"/>
        <v>17062.16277881735</v>
      </c>
      <c r="BB223" s="42">
        <f t="shared" si="63"/>
        <v>3779.9999999999995</v>
      </c>
      <c r="BC223" s="38">
        <f t="shared" si="66"/>
        <v>20.239999999999998</v>
      </c>
      <c r="BD223" s="38">
        <f t="shared" si="67"/>
        <v>33.733333333333334</v>
      </c>
      <c r="BE223" s="38">
        <f t="shared" si="68"/>
        <v>13.02</v>
      </c>
      <c r="BH223" s="34">
        <v>36.1</v>
      </c>
      <c r="BI223" s="43">
        <v>3.3</v>
      </c>
    </row>
    <row r="224" spans="14:61">
      <c r="N224" s="30" t="s">
        <v>429</v>
      </c>
      <c r="O224" s="40">
        <v>32.700000000000003</v>
      </c>
      <c r="P224" s="128">
        <v>21.5</v>
      </c>
      <c r="Q224" s="128">
        <v>0.55000000000000004</v>
      </c>
      <c r="R224" s="128">
        <v>12.3</v>
      </c>
      <c r="S224" s="128">
        <v>0.875</v>
      </c>
      <c r="T224" s="40">
        <v>1.38</v>
      </c>
      <c r="U224" s="132">
        <v>1.125</v>
      </c>
      <c r="V224" s="40">
        <v>7.05</v>
      </c>
      <c r="W224" s="84" t="s">
        <v>127</v>
      </c>
      <c r="X224" s="35">
        <f t="shared" si="52"/>
        <v>35.909090909090907</v>
      </c>
      <c r="Y224" s="36">
        <f t="shared" si="53"/>
        <v>3.3686631719815892</v>
      </c>
      <c r="Z224" s="34">
        <v>1.99</v>
      </c>
      <c r="AA224" s="40">
        <v>2670</v>
      </c>
      <c r="AB224" s="128">
        <v>249</v>
      </c>
      <c r="AC224" s="40">
        <v>9.0500000000000007</v>
      </c>
      <c r="AD224" s="40">
        <v>274</v>
      </c>
      <c r="AE224" s="128">
        <v>44.5</v>
      </c>
      <c r="AF224" s="40">
        <v>2.9</v>
      </c>
      <c r="AG224" s="41">
        <v>279</v>
      </c>
      <c r="AH224" s="40">
        <v>68.2</v>
      </c>
      <c r="AI224" s="41">
        <v>6.83</v>
      </c>
      <c r="AJ224" s="40">
        <v>29200</v>
      </c>
      <c r="AK224" s="40">
        <v>63.7</v>
      </c>
      <c r="AL224" s="40">
        <v>172</v>
      </c>
      <c r="AM224" s="40">
        <v>53.2</v>
      </c>
      <c r="AN224" s="40">
        <v>138</v>
      </c>
      <c r="AO224" s="134" t="s">
        <v>423</v>
      </c>
      <c r="AP224" s="39" t="s">
        <v>69</v>
      </c>
      <c r="AQ224" s="40">
        <f t="shared" si="54"/>
        <v>122.92059746031175</v>
      </c>
      <c r="AR224" s="41">
        <f t="shared" si="64"/>
        <v>20.625</v>
      </c>
      <c r="AS224" s="37">
        <f t="shared" si="55"/>
        <v>374.64677009211664</v>
      </c>
      <c r="AT224" s="42">
        <f t="shared" si="56"/>
        <v>13950</v>
      </c>
      <c r="AU224" s="31">
        <f t="shared" si="57"/>
        <v>8715</v>
      </c>
      <c r="AV224" s="31">
        <f t="shared" si="58"/>
        <v>20.796407243902824</v>
      </c>
      <c r="AW224" s="37">
        <f t="shared" si="59"/>
        <v>13371.982325806162</v>
      </c>
      <c r="AX224" s="31">
        <f t="shared" si="60"/>
        <v>122.92059746031175</v>
      </c>
      <c r="AY224" s="42">
        <f t="shared" si="61"/>
        <v>16181.882850443606</v>
      </c>
      <c r="AZ224" s="42">
        <f t="shared" si="65"/>
        <v>3329623.5991257345</v>
      </c>
      <c r="BA224" s="42">
        <f t="shared" si="62"/>
        <v>15496.707876981678</v>
      </c>
      <c r="BB224" s="42">
        <f t="shared" si="63"/>
        <v>3410</v>
      </c>
      <c r="BC224" s="38">
        <f t="shared" si="66"/>
        <v>20.12</v>
      </c>
      <c r="BD224" s="38">
        <f t="shared" si="67"/>
        <v>36.581818181818178</v>
      </c>
      <c r="BE224" s="38">
        <f t="shared" si="68"/>
        <v>11.825000000000001</v>
      </c>
      <c r="BH224" s="34">
        <v>39.1</v>
      </c>
      <c r="BI224" s="43">
        <v>3.28</v>
      </c>
    </row>
    <row r="225" spans="14:61">
      <c r="N225" s="30" t="s">
        <v>430</v>
      </c>
      <c r="O225" s="40">
        <v>29.8</v>
      </c>
      <c r="P225" s="128">
        <v>21.4</v>
      </c>
      <c r="Q225" s="128">
        <v>0.5</v>
      </c>
      <c r="R225" s="128">
        <v>12.3</v>
      </c>
      <c r="S225" s="128">
        <v>0.8</v>
      </c>
      <c r="T225" s="40">
        <v>1.3</v>
      </c>
      <c r="U225" s="132">
        <v>1.0625</v>
      </c>
      <c r="V225" s="40">
        <v>7.68</v>
      </c>
      <c r="W225" s="84" t="s">
        <v>127</v>
      </c>
      <c r="X225" s="35">
        <f t="shared" si="52"/>
        <v>39.599999999999994</v>
      </c>
      <c r="Y225" s="36">
        <f t="shared" si="53"/>
        <v>3.354528794946221</v>
      </c>
      <c r="Z225" s="34">
        <v>2.17</v>
      </c>
      <c r="AA225" s="40">
        <v>2420</v>
      </c>
      <c r="AB225" s="128">
        <v>227</v>
      </c>
      <c r="AC225" s="40">
        <v>9.02</v>
      </c>
      <c r="AD225" s="40">
        <v>248</v>
      </c>
      <c r="AE225" s="128">
        <v>40.299999999999997</v>
      </c>
      <c r="AF225" s="40">
        <v>2.89</v>
      </c>
      <c r="AG225" s="41">
        <v>253</v>
      </c>
      <c r="AH225" s="40">
        <v>61.7</v>
      </c>
      <c r="AI225" s="41">
        <v>5.21</v>
      </c>
      <c r="AJ225" s="40">
        <v>26200</v>
      </c>
      <c r="AK225" s="40">
        <v>63.2</v>
      </c>
      <c r="AL225" s="40">
        <v>155</v>
      </c>
      <c r="AM225" s="40">
        <v>48.5</v>
      </c>
      <c r="AN225" s="40">
        <v>125</v>
      </c>
      <c r="AO225" s="134" t="s">
        <v>423</v>
      </c>
      <c r="AP225" s="39" t="s">
        <v>69</v>
      </c>
      <c r="AQ225" s="40">
        <f t="shared" si="54"/>
        <v>122.49673333113827</v>
      </c>
      <c r="AR225" s="41">
        <f t="shared" si="64"/>
        <v>20.599999999999998</v>
      </c>
      <c r="AS225" s="37">
        <f t="shared" si="55"/>
        <v>361.31298909402216</v>
      </c>
      <c r="AT225" s="42">
        <f t="shared" si="56"/>
        <v>12650</v>
      </c>
      <c r="AU225" s="31">
        <f t="shared" si="57"/>
        <v>7945</v>
      </c>
      <c r="AV225" s="31">
        <f t="shared" si="58"/>
        <v>19.701338943490953</v>
      </c>
      <c r="AW225" s="37">
        <f t="shared" si="59"/>
        <v>13257.720546521337</v>
      </c>
      <c r="AX225" s="31">
        <f t="shared" si="60"/>
        <v>122.49673333113827</v>
      </c>
      <c r="AY225" s="42">
        <f t="shared" si="61"/>
        <v>14756.008775308721</v>
      </c>
      <c r="AZ225" s="42">
        <f t="shared" si="65"/>
        <v>3009502.5640603434</v>
      </c>
      <c r="BA225" s="42">
        <f t="shared" si="62"/>
        <v>14040.116630601489</v>
      </c>
      <c r="BB225" s="42">
        <f t="shared" si="63"/>
        <v>3085</v>
      </c>
      <c r="BC225" s="38">
        <f t="shared" si="66"/>
        <v>20.099999999999998</v>
      </c>
      <c r="BD225" s="38">
        <f t="shared" si="67"/>
        <v>40.199999999999996</v>
      </c>
      <c r="BE225" s="38">
        <f t="shared" si="68"/>
        <v>10.7</v>
      </c>
      <c r="BH225" s="34">
        <v>42.7</v>
      </c>
      <c r="BI225" s="43">
        <v>3.27</v>
      </c>
    </row>
    <row r="226" spans="14:61">
      <c r="N226" s="30" t="s">
        <v>431</v>
      </c>
      <c r="O226" s="40">
        <v>27.3</v>
      </c>
      <c r="P226" s="128">
        <v>21.6</v>
      </c>
      <c r="Q226" s="128">
        <v>0.57999999999999996</v>
      </c>
      <c r="R226" s="128">
        <v>8.42</v>
      </c>
      <c r="S226" s="128">
        <v>0.93</v>
      </c>
      <c r="T226" s="40">
        <v>1.43</v>
      </c>
      <c r="U226" s="132">
        <v>0.9375</v>
      </c>
      <c r="V226" s="40">
        <v>4.53</v>
      </c>
      <c r="W226" s="84" t="s">
        <v>127</v>
      </c>
      <c r="X226" s="35">
        <f t="shared" si="52"/>
        <v>34.034482758620697</v>
      </c>
      <c r="Y226" s="36">
        <f t="shared" si="53"/>
        <v>2.2362094741995886</v>
      </c>
      <c r="Z226" s="34">
        <v>2.76</v>
      </c>
      <c r="AA226" s="40">
        <v>2070</v>
      </c>
      <c r="AB226" s="128">
        <v>192</v>
      </c>
      <c r="AC226" s="40">
        <v>8.6999999999999993</v>
      </c>
      <c r="AD226" s="40">
        <v>92.9</v>
      </c>
      <c r="AE226" s="128">
        <v>22.1</v>
      </c>
      <c r="AF226" s="40">
        <v>1.84</v>
      </c>
      <c r="AG226" s="41">
        <v>221</v>
      </c>
      <c r="AH226" s="40">
        <v>34.700000000000003</v>
      </c>
      <c r="AI226" s="41">
        <v>6.03</v>
      </c>
      <c r="AJ226" s="40">
        <v>9940</v>
      </c>
      <c r="AK226" s="40">
        <v>43.6</v>
      </c>
      <c r="AL226" s="40">
        <v>85.3</v>
      </c>
      <c r="AM226" s="40">
        <v>37.700000000000003</v>
      </c>
      <c r="AN226" s="40">
        <v>109</v>
      </c>
      <c r="AO226" s="134" t="s">
        <v>432</v>
      </c>
      <c r="AP226" s="39" t="s">
        <v>69</v>
      </c>
      <c r="AQ226" s="40">
        <f t="shared" si="54"/>
        <v>77.990999767921934</v>
      </c>
      <c r="AR226" s="41">
        <f t="shared" si="64"/>
        <v>20.67</v>
      </c>
      <c r="AS226" s="37">
        <f t="shared" si="55"/>
        <v>255.63235126746949</v>
      </c>
      <c r="AT226" s="42">
        <f t="shared" si="56"/>
        <v>11050</v>
      </c>
      <c r="AU226" s="31">
        <f t="shared" si="57"/>
        <v>6720</v>
      </c>
      <c r="AV226" s="31">
        <f t="shared" si="58"/>
        <v>24.37495528742939</v>
      </c>
      <c r="AW226" s="37">
        <f t="shared" si="59"/>
        <v>5902.9875553061929</v>
      </c>
      <c r="AX226" s="31">
        <f t="shared" si="60"/>
        <v>77.990999767921934</v>
      </c>
      <c r="AY226" s="42">
        <f t="shared" si="61"/>
        <v>12570.777829681114</v>
      </c>
      <c r="AZ226" s="42">
        <f t="shared" si="65"/>
        <v>1133373.610618789</v>
      </c>
      <c r="BA226" s="42">
        <f t="shared" si="62"/>
        <v>12329.32093740796</v>
      </c>
      <c r="BB226" s="42">
        <f t="shared" si="63"/>
        <v>1735.0000000000002</v>
      </c>
      <c r="BC226" s="38">
        <f t="shared" si="66"/>
        <v>20.170000000000002</v>
      </c>
      <c r="BD226" s="38">
        <f t="shared" si="67"/>
        <v>34.775862068965523</v>
      </c>
      <c r="BE226" s="38">
        <f t="shared" si="68"/>
        <v>12.528</v>
      </c>
      <c r="BH226" s="34">
        <v>37.299999999999997</v>
      </c>
      <c r="BI226" s="43">
        <v>2.17</v>
      </c>
    </row>
    <row r="227" spans="14:61">
      <c r="N227" s="30" t="s">
        <v>433</v>
      </c>
      <c r="O227" s="40">
        <v>24.3</v>
      </c>
      <c r="P227" s="128">
        <v>21.4</v>
      </c>
      <c r="Q227" s="128">
        <v>0.51500000000000001</v>
      </c>
      <c r="R227" s="128">
        <v>8.36</v>
      </c>
      <c r="S227" s="128">
        <v>0.83499999999999996</v>
      </c>
      <c r="T227" s="40">
        <v>1.34</v>
      </c>
      <c r="U227" s="132">
        <v>0.875</v>
      </c>
      <c r="V227" s="40">
        <v>5</v>
      </c>
      <c r="W227" s="84" t="s">
        <v>127</v>
      </c>
      <c r="X227" s="35">
        <f t="shared" si="52"/>
        <v>38.310679611650478</v>
      </c>
      <c r="Y227" s="36">
        <f t="shared" si="53"/>
        <v>2.2123992691907555</v>
      </c>
      <c r="Z227" s="34">
        <v>3.07</v>
      </c>
      <c r="AA227" s="40">
        <v>1830</v>
      </c>
      <c r="AB227" s="128">
        <v>171</v>
      </c>
      <c r="AC227" s="40">
        <v>8.67</v>
      </c>
      <c r="AD227" s="40">
        <v>81.400000000000006</v>
      </c>
      <c r="AE227" s="128">
        <v>19.5</v>
      </c>
      <c r="AF227" s="40">
        <v>1.83</v>
      </c>
      <c r="AG227" s="41">
        <v>196</v>
      </c>
      <c r="AH227" s="40">
        <v>30.5</v>
      </c>
      <c r="AI227" s="41">
        <v>4.34</v>
      </c>
      <c r="AJ227" s="40">
        <v>8630</v>
      </c>
      <c r="AK227" s="40">
        <v>43</v>
      </c>
      <c r="AL227" s="40">
        <v>75</v>
      </c>
      <c r="AM227" s="40">
        <v>33.700000000000003</v>
      </c>
      <c r="AN227" s="40">
        <v>97</v>
      </c>
      <c r="AO227" s="134" t="s">
        <v>432</v>
      </c>
      <c r="AP227" s="39" t="s">
        <v>69</v>
      </c>
      <c r="AQ227" s="40">
        <f t="shared" si="54"/>
        <v>77.567135638748454</v>
      </c>
      <c r="AR227" s="41">
        <f t="shared" si="64"/>
        <v>20.564999999999998</v>
      </c>
      <c r="AS227" s="37">
        <f t="shared" si="55"/>
        <v>242.60069058563263</v>
      </c>
      <c r="AT227" s="42">
        <f t="shared" si="56"/>
        <v>9800</v>
      </c>
      <c r="AU227" s="31">
        <f t="shared" si="57"/>
        <v>5985</v>
      </c>
      <c r="AV227" s="31">
        <f t="shared" si="58"/>
        <v>23.116511070902231</v>
      </c>
      <c r="AW227" s="37">
        <f t="shared" si="59"/>
        <v>5775.1318591480413</v>
      </c>
      <c r="AX227" s="31">
        <f t="shared" si="60"/>
        <v>77.567135638748454</v>
      </c>
      <c r="AY227" s="42">
        <f t="shared" si="61"/>
        <v>11232.463977025229</v>
      </c>
      <c r="AZ227" s="42">
        <f t="shared" si="65"/>
        <v>987547.54791431502</v>
      </c>
      <c r="BA227" s="42">
        <f t="shared" si="62"/>
        <v>10927.161518755513</v>
      </c>
      <c r="BB227" s="42">
        <f t="shared" si="63"/>
        <v>1525</v>
      </c>
      <c r="BC227" s="38">
        <f t="shared" si="66"/>
        <v>20.059999999999999</v>
      </c>
      <c r="BD227" s="38">
        <f t="shared" si="67"/>
        <v>38.95145631067961</v>
      </c>
      <c r="BE227" s="38">
        <f t="shared" si="68"/>
        <v>11.020999999999999</v>
      </c>
      <c r="BH227" s="34">
        <v>41.6</v>
      </c>
      <c r="BI227" s="43">
        <v>2.15</v>
      </c>
    </row>
    <row r="228" spans="14:61">
      <c r="N228" s="30" t="s">
        <v>434</v>
      </c>
      <c r="O228" s="40">
        <v>21.5</v>
      </c>
      <c r="P228" s="128">
        <v>21.2</v>
      </c>
      <c r="Q228" s="128">
        <v>0.45500000000000002</v>
      </c>
      <c r="R228" s="128">
        <v>8.3000000000000007</v>
      </c>
      <c r="S228" s="128">
        <v>0.74</v>
      </c>
      <c r="T228" s="40">
        <v>1.24</v>
      </c>
      <c r="U228" s="132">
        <v>0.875</v>
      </c>
      <c r="V228" s="40">
        <v>5.6</v>
      </c>
      <c r="W228" s="84" t="s">
        <v>127</v>
      </c>
      <c r="X228" s="35">
        <f t="shared" si="52"/>
        <v>43.340659340659336</v>
      </c>
      <c r="Y228" s="36">
        <f t="shared" si="53"/>
        <v>2.1870146576058382</v>
      </c>
      <c r="Z228" s="34">
        <v>3.46</v>
      </c>
      <c r="AA228" s="40">
        <v>1600</v>
      </c>
      <c r="AB228" s="128">
        <v>151</v>
      </c>
      <c r="AC228" s="40">
        <v>8.64</v>
      </c>
      <c r="AD228" s="40">
        <v>70.599999999999994</v>
      </c>
      <c r="AE228" s="128">
        <v>17</v>
      </c>
      <c r="AF228" s="40">
        <v>1.81</v>
      </c>
      <c r="AG228" s="41">
        <v>172</v>
      </c>
      <c r="AH228" s="40">
        <v>26.6</v>
      </c>
      <c r="AI228" s="41">
        <v>3.02</v>
      </c>
      <c r="AJ228" s="40">
        <v>7420</v>
      </c>
      <c r="AK228" s="40">
        <v>42.5</v>
      </c>
      <c r="AL228" s="40">
        <v>65.2</v>
      </c>
      <c r="AM228" s="40">
        <v>29.7</v>
      </c>
      <c r="AN228" s="40">
        <v>85.1</v>
      </c>
      <c r="AO228" s="134" t="s">
        <v>432</v>
      </c>
      <c r="AP228" s="39" t="s">
        <v>69</v>
      </c>
      <c r="AQ228" s="40">
        <f t="shared" si="54"/>
        <v>76.719407380401478</v>
      </c>
      <c r="AR228" s="41">
        <f t="shared" si="64"/>
        <v>20.46</v>
      </c>
      <c r="AS228" s="37">
        <f t="shared" si="55"/>
        <v>230.7459073144494</v>
      </c>
      <c r="AT228" s="42">
        <f t="shared" si="56"/>
        <v>8600</v>
      </c>
      <c r="AU228" s="31">
        <f t="shared" si="57"/>
        <v>5285</v>
      </c>
      <c r="AV228" s="31">
        <f t="shared" si="58"/>
        <v>21.522270527600369</v>
      </c>
      <c r="AW228" s="37">
        <f t="shared" si="59"/>
        <v>5640.8200058559914</v>
      </c>
      <c r="AX228" s="31">
        <f t="shared" si="60"/>
        <v>76.719407380401478</v>
      </c>
      <c r="AY228" s="42">
        <f t="shared" si="61"/>
        <v>9915.428420127615</v>
      </c>
      <c r="AZ228" s="42">
        <f t="shared" si="65"/>
        <v>851763.82088425476</v>
      </c>
      <c r="BA228" s="42">
        <f t="shared" si="62"/>
        <v>9579.4339278308053</v>
      </c>
      <c r="BB228" s="42">
        <f t="shared" si="63"/>
        <v>1330</v>
      </c>
      <c r="BC228" s="38">
        <f t="shared" si="66"/>
        <v>19.96</v>
      </c>
      <c r="BD228" s="38">
        <f t="shared" si="67"/>
        <v>43.868131868131869</v>
      </c>
      <c r="BE228" s="38">
        <f t="shared" si="68"/>
        <v>9.6460000000000008</v>
      </c>
      <c r="BH228" s="34">
        <v>46.7</v>
      </c>
      <c r="BI228" s="43">
        <v>2.13</v>
      </c>
    </row>
    <row r="229" spans="14:61">
      <c r="N229" s="30" t="s">
        <v>435</v>
      </c>
      <c r="O229" s="40">
        <v>20</v>
      </c>
      <c r="P229" s="128">
        <v>21.1</v>
      </c>
      <c r="Q229" s="128">
        <v>0.43</v>
      </c>
      <c r="R229" s="128">
        <v>8.27</v>
      </c>
      <c r="S229" s="128">
        <v>0.68500000000000005</v>
      </c>
      <c r="T229" s="40">
        <v>1.19</v>
      </c>
      <c r="U229" s="132">
        <v>0.875</v>
      </c>
      <c r="V229" s="40">
        <v>6.04</v>
      </c>
      <c r="W229" s="84" t="s">
        <v>127</v>
      </c>
      <c r="X229" s="35">
        <f t="shared" si="52"/>
        <v>45.883720930232563</v>
      </c>
      <c r="Y229" s="36">
        <f t="shared" si="53"/>
        <v>2.1719399656265166</v>
      </c>
      <c r="Z229" s="34">
        <v>3.73</v>
      </c>
      <c r="AA229" s="40">
        <v>1480</v>
      </c>
      <c r="AB229" s="128">
        <v>140</v>
      </c>
      <c r="AC229" s="40">
        <v>8.6</v>
      </c>
      <c r="AD229" s="40">
        <v>64.7</v>
      </c>
      <c r="AE229" s="128">
        <v>15.7</v>
      </c>
      <c r="AF229" s="40">
        <v>1.8</v>
      </c>
      <c r="AG229" s="41">
        <v>160</v>
      </c>
      <c r="AH229" s="40">
        <v>24.4</v>
      </c>
      <c r="AI229" s="41">
        <v>2.4500000000000002</v>
      </c>
      <c r="AJ229" s="40">
        <v>6760</v>
      </c>
      <c r="AK229" s="40">
        <v>42.3</v>
      </c>
      <c r="AL229" s="40">
        <v>59.9</v>
      </c>
      <c r="AM229" s="40">
        <v>27.4</v>
      </c>
      <c r="AN229" s="40">
        <v>78.900000000000006</v>
      </c>
      <c r="AO229" s="134" t="s">
        <v>432</v>
      </c>
      <c r="AP229" s="39" t="s">
        <v>69</v>
      </c>
      <c r="AQ229" s="40">
        <f t="shared" si="54"/>
        <v>76.295543251227983</v>
      </c>
      <c r="AR229" s="41">
        <f t="shared" si="64"/>
        <v>20.415000000000003</v>
      </c>
      <c r="AS229" s="37">
        <f t="shared" si="55"/>
        <v>224.97786698936329</v>
      </c>
      <c r="AT229" s="42">
        <f t="shared" si="56"/>
        <v>8000</v>
      </c>
      <c r="AU229" s="31">
        <f t="shared" si="57"/>
        <v>4900</v>
      </c>
      <c r="AV229" s="31">
        <f t="shared" si="58"/>
        <v>20.849822104339935</v>
      </c>
      <c r="AW229" s="37">
        <f t="shared" si="59"/>
        <v>5562.1339516630223</v>
      </c>
      <c r="AX229" s="31">
        <f t="shared" si="60"/>
        <v>76.295543251227983</v>
      </c>
      <c r="AY229" s="42">
        <f t="shared" si="61"/>
        <v>9265.491279314374</v>
      </c>
      <c r="AZ229" s="42">
        <f t="shared" si="65"/>
        <v>778698.7532328231</v>
      </c>
      <c r="BA229" s="42">
        <f t="shared" si="62"/>
        <v>8915.9110637331814</v>
      </c>
      <c r="BB229" s="42">
        <f t="shared" si="63"/>
        <v>1220</v>
      </c>
      <c r="BC229" s="38">
        <f t="shared" si="66"/>
        <v>19.91</v>
      </c>
      <c r="BD229" s="38">
        <f t="shared" si="67"/>
        <v>46.302325581395351</v>
      </c>
      <c r="BE229" s="38">
        <f t="shared" si="68"/>
        <v>9.0730000000000004</v>
      </c>
      <c r="BH229" s="34">
        <v>49.1</v>
      </c>
      <c r="BI229" s="43">
        <v>2.12</v>
      </c>
    </row>
    <row r="230" spans="14:61">
      <c r="N230" s="30" t="s">
        <v>436</v>
      </c>
      <c r="O230" s="40">
        <v>18.3</v>
      </c>
      <c r="P230" s="128">
        <v>21</v>
      </c>
      <c r="Q230" s="128">
        <v>0.4</v>
      </c>
      <c r="R230" s="128">
        <v>8.24</v>
      </c>
      <c r="S230" s="128">
        <v>0.61499999999999999</v>
      </c>
      <c r="T230" s="40">
        <v>1.1200000000000001</v>
      </c>
      <c r="U230" s="155">
        <v>0.8125</v>
      </c>
      <c r="V230" s="40">
        <v>6.7</v>
      </c>
      <c r="W230" s="84" t="s">
        <v>127</v>
      </c>
      <c r="X230" s="35">
        <f t="shared" si="52"/>
        <v>49.424999999999997</v>
      </c>
      <c r="Y230" s="36">
        <f t="shared" si="53"/>
        <v>2.1481886711667424</v>
      </c>
      <c r="Z230" s="34">
        <v>4.1399999999999997</v>
      </c>
      <c r="AA230" s="40">
        <v>1330</v>
      </c>
      <c r="AB230" s="128">
        <v>127</v>
      </c>
      <c r="AC230" s="40">
        <v>8.5399999999999991</v>
      </c>
      <c r="AD230" s="40">
        <v>57.5</v>
      </c>
      <c r="AE230" s="128">
        <v>14</v>
      </c>
      <c r="AF230" s="40">
        <v>1.77</v>
      </c>
      <c r="AG230" s="41">
        <v>144</v>
      </c>
      <c r="AH230" s="40">
        <v>21.7</v>
      </c>
      <c r="AI230" s="41">
        <v>1.83</v>
      </c>
      <c r="AJ230" s="40">
        <v>5970</v>
      </c>
      <c r="AK230" s="40">
        <v>42</v>
      </c>
      <c r="AL230" s="40">
        <v>53.2</v>
      </c>
      <c r="AM230" s="40">
        <v>24.6</v>
      </c>
      <c r="AN230" s="40">
        <v>71.099999999999994</v>
      </c>
      <c r="AO230" s="134" t="s">
        <v>432</v>
      </c>
      <c r="AP230" s="39" t="s">
        <v>69</v>
      </c>
      <c r="AQ230" s="40">
        <f t="shared" si="54"/>
        <v>75.023950863707526</v>
      </c>
      <c r="AR230" s="41">
        <f t="shared" si="64"/>
        <v>20.385000000000002</v>
      </c>
      <c r="AS230" s="37">
        <f t="shared" si="55"/>
        <v>217.40512555367158</v>
      </c>
      <c r="AT230" s="42">
        <f t="shared" si="56"/>
        <v>7200</v>
      </c>
      <c r="AU230" s="31">
        <f t="shared" si="57"/>
        <v>4445</v>
      </c>
      <c r="AV230" s="31">
        <f t="shared" si="58"/>
        <v>19.34946811612582</v>
      </c>
      <c r="AW230" s="37">
        <f t="shared" si="59"/>
        <v>5439.6804642169782</v>
      </c>
      <c r="AX230" s="31">
        <f t="shared" si="60"/>
        <v>75.023950863707526</v>
      </c>
      <c r="AY230" s="42">
        <f t="shared" si="61"/>
        <v>8349.8218425715368</v>
      </c>
      <c r="AZ230" s="42">
        <f t="shared" si="65"/>
        <v>690839.41895555623</v>
      </c>
      <c r="BA230" s="42">
        <f t="shared" si="62"/>
        <v>8013.9790259951333</v>
      </c>
      <c r="BB230" s="42">
        <f t="shared" si="63"/>
        <v>1085</v>
      </c>
      <c r="BC230" s="38">
        <f t="shared" si="66"/>
        <v>19.88</v>
      </c>
      <c r="BD230" s="38">
        <f t="shared" si="67"/>
        <v>49.699999999999996</v>
      </c>
      <c r="BE230" s="38">
        <f t="shared" si="68"/>
        <v>8.4</v>
      </c>
      <c r="BH230" s="34">
        <v>52.5</v>
      </c>
      <c r="BI230" s="43">
        <v>2.1</v>
      </c>
    </row>
    <row r="231" spans="14:61">
      <c r="N231" s="30" t="s">
        <v>437</v>
      </c>
      <c r="O231" s="40">
        <v>16.7</v>
      </c>
      <c r="P231" s="128">
        <v>21.1</v>
      </c>
      <c r="Q231" s="128">
        <v>0.40500000000000003</v>
      </c>
      <c r="R231" s="128">
        <v>6.56</v>
      </c>
      <c r="S231" s="128">
        <v>0.65</v>
      </c>
      <c r="T231" s="40">
        <v>1.1499999999999999</v>
      </c>
      <c r="U231" s="132">
        <v>0.8125</v>
      </c>
      <c r="V231" s="40">
        <v>5.04</v>
      </c>
      <c r="W231" s="84" t="s">
        <v>127</v>
      </c>
      <c r="X231" s="35">
        <f t="shared" si="52"/>
        <v>48.888888888888886</v>
      </c>
      <c r="Y231" s="36">
        <f t="shared" si="53"/>
        <v>1.6789234002132987</v>
      </c>
      <c r="Z231" s="34">
        <v>4.9400000000000004</v>
      </c>
      <c r="AA231" s="40">
        <v>1170</v>
      </c>
      <c r="AB231" s="128">
        <v>111</v>
      </c>
      <c r="AC231" s="40">
        <v>8.36</v>
      </c>
      <c r="AD231" s="40">
        <v>30.6</v>
      </c>
      <c r="AE231" s="128">
        <v>9.35</v>
      </c>
      <c r="AF231" s="40">
        <v>1.35</v>
      </c>
      <c r="AG231" s="41">
        <v>129</v>
      </c>
      <c r="AH231" s="40">
        <v>14.8</v>
      </c>
      <c r="AI231" s="41">
        <v>1.77</v>
      </c>
      <c r="AJ231" s="40">
        <v>3190</v>
      </c>
      <c r="AK231" s="40">
        <v>33.4</v>
      </c>
      <c r="AL231" s="40">
        <v>35.6</v>
      </c>
      <c r="AM231" s="40">
        <v>20.399999999999999</v>
      </c>
      <c r="AN231" s="40">
        <v>63.2</v>
      </c>
      <c r="AO231" s="134" t="s">
        <v>432</v>
      </c>
      <c r="AP231" s="39" t="s">
        <v>204</v>
      </c>
      <c r="AQ231" s="40">
        <f t="shared" si="54"/>
        <v>57.221657438420998</v>
      </c>
      <c r="AR231" s="41">
        <f t="shared" si="64"/>
        <v>20.450000000000003</v>
      </c>
      <c r="AS231" s="37">
        <f t="shared" si="55"/>
        <v>171.84472578653273</v>
      </c>
      <c r="AT231" s="42">
        <f t="shared" si="56"/>
        <v>6450</v>
      </c>
      <c r="AU231" s="31">
        <f t="shared" si="57"/>
        <v>3885</v>
      </c>
      <c r="AV231" s="31">
        <f t="shared" si="58"/>
        <v>22.377694446374985</v>
      </c>
      <c r="AW231" s="37">
        <f t="shared" si="59"/>
        <v>3326.5732910662041</v>
      </c>
      <c r="AX231" s="31">
        <f t="shared" si="60"/>
        <v>57.221657438420998</v>
      </c>
      <c r="AY231" s="42">
        <f t="shared" si="61"/>
        <v>7381.396732508676</v>
      </c>
      <c r="AZ231" s="42">
        <f t="shared" si="65"/>
        <v>369249.63530834863</v>
      </c>
      <c r="BA231" s="42">
        <f t="shared" si="62"/>
        <v>7207.8425414437452</v>
      </c>
      <c r="BB231" s="42">
        <f t="shared" si="63"/>
        <v>740</v>
      </c>
      <c r="BC231" s="38">
        <f t="shared" si="66"/>
        <v>19.950000000000003</v>
      </c>
      <c r="BD231" s="38">
        <f t="shared" si="67"/>
        <v>49.25925925925926</v>
      </c>
      <c r="BE231" s="38">
        <f t="shared" si="68"/>
        <v>8.5455000000000005</v>
      </c>
      <c r="BH231" s="34">
        <v>52</v>
      </c>
      <c r="BI231" s="43">
        <v>1.64</v>
      </c>
    </row>
    <row r="232" spans="14:61">
      <c r="N232" s="156" t="s">
        <v>438</v>
      </c>
      <c r="O232" s="136">
        <v>16.2</v>
      </c>
      <c r="P232" s="137">
        <v>20.8</v>
      </c>
      <c r="Q232" s="137">
        <v>0.375</v>
      </c>
      <c r="R232" s="137">
        <v>8.2200000000000006</v>
      </c>
      <c r="S232" s="137">
        <v>0.52200000000000002</v>
      </c>
      <c r="T232" s="136">
        <v>1.02</v>
      </c>
      <c r="U232" s="136">
        <v>0.8125</v>
      </c>
      <c r="V232" s="136">
        <v>7.87</v>
      </c>
      <c r="W232" s="157" t="s">
        <v>127</v>
      </c>
      <c r="X232" s="35">
        <f t="shared" si="52"/>
        <v>52.68266666666667</v>
      </c>
      <c r="Y232" s="36">
        <f t="shared" si="53"/>
        <v>2.1121458282987944</v>
      </c>
      <c r="Z232" s="136">
        <v>4.8499999999999996</v>
      </c>
      <c r="AA232" s="136">
        <v>1140</v>
      </c>
      <c r="AB232" s="137">
        <v>110</v>
      </c>
      <c r="AC232" s="136">
        <v>8.4</v>
      </c>
      <c r="AD232" s="136">
        <v>48.4</v>
      </c>
      <c r="AE232" s="137">
        <v>11.8</v>
      </c>
      <c r="AF232" s="136">
        <v>1.73</v>
      </c>
      <c r="AG232" s="138">
        <v>126</v>
      </c>
      <c r="AH232" s="136">
        <v>18.399999999999999</v>
      </c>
      <c r="AI232" s="138">
        <v>1.24</v>
      </c>
      <c r="AJ232" s="136">
        <v>4980</v>
      </c>
      <c r="AK232" s="136">
        <v>41.7</v>
      </c>
      <c r="AL232" s="136">
        <v>44.7</v>
      </c>
      <c r="AM232" s="136">
        <v>20.8</v>
      </c>
      <c r="AN232" s="136">
        <v>61.8</v>
      </c>
      <c r="AO232" s="139" t="s">
        <v>432</v>
      </c>
      <c r="AP232" s="140" t="s">
        <v>69</v>
      </c>
      <c r="AQ232" s="40">
        <f t="shared" si="54"/>
        <v>73.32849434701356</v>
      </c>
      <c r="AR232" s="41">
        <f t="shared" si="64"/>
        <v>20.278000000000002</v>
      </c>
      <c r="AS232" s="37">
        <f t="shared" si="55"/>
        <v>208.7762399099941</v>
      </c>
      <c r="AT232" s="42">
        <f t="shared" si="56"/>
        <v>6300</v>
      </c>
      <c r="AU232" s="31">
        <f t="shared" si="57"/>
        <v>3850</v>
      </c>
      <c r="AV232" s="31">
        <f t="shared" si="58"/>
        <v>18.08815635739613</v>
      </c>
      <c r="AW232" s="37">
        <f t="shared" si="59"/>
        <v>5257.2533980196913</v>
      </c>
      <c r="AX232" s="31">
        <f t="shared" si="60"/>
        <v>73.32849434701356</v>
      </c>
      <c r="AY232" s="42">
        <f t="shared" si="61"/>
        <v>7344.2020320258398</v>
      </c>
      <c r="AZ232" s="42">
        <f t="shared" si="65"/>
        <v>578297.87378216605</v>
      </c>
      <c r="BA232" s="42">
        <f t="shared" si="62"/>
        <v>7023.8651955310625</v>
      </c>
      <c r="BB232" s="42">
        <f t="shared" si="63"/>
        <v>919.99999999999989</v>
      </c>
      <c r="BC232" s="38">
        <f t="shared" si="66"/>
        <v>19.78</v>
      </c>
      <c r="BD232" s="38">
        <f t="shared" si="67"/>
        <v>52.74666666666667</v>
      </c>
      <c r="BE232" s="38">
        <f t="shared" si="68"/>
        <v>7.8000000000000007</v>
      </c>
      <c r="BH232" s="136">
        <v>55.47</v>
      </c>
      <c r="BI232" s="138">
        <v>2.09</v>
      </c>
    </row>
    <row r="233" spans="14:61">
      <c r="N233" s="30" t="s">
        <v>439</v>
      </c>
      <c r="O233" s="40">
        <v>14.7</v>
      </c>
      <c r="P233" s="128">
        <v>20.8</v>
      </c>
      <c r="Q233" s="128">
        <v>0.38</v>
      </c>
      <c r="R233" s="128">
        <v>6.53</v>
      </c>
      <c r="S233" s="128">
        <v>0.53500000000000003</v>
      </c>
      <c r="T233" s="40">
        <v>1.04</v>
      </c>
      <c r="U233" s="132">
        <v>0.8125</v>
      </c>
      <c r="V233" s="40">
        <v>6.1</v>
      </c>
      <c r="W233" s="84" t="s">
        <v>127</v>
      </c>
      <c r="X233" s="35">
        <f t="shared" si="52"/>
        <v>51.921052631578945</v>
      </c>
      <c r="Y233" s="36">
        <f t="shared" si="53"/>
        <v>1.633962463869147</v>
      </c>
      <c r="Z233" s="34">
        <v>5.96</v>
      </c>
      <c r="AA233" s="40">
        <v>984</v>
      </c>
      <c r="AB233" s="128">
        <v>94.5</v>
      </c>
      <c r="AC233" s="40">
        <v>8.18</v>
      </c>
      <c r="AD233" s="40">
        <v>24.9</v>
      </c>
      <c r="AE233" s="128">
        <v>7.64</v>
      </c>
      <c r="AF233" s="40">
        <v>1.3</v>
      </c>
      <c r="AG233" s="41">
        <v>110</v>
      </c>
      <c r="AH233" s="40">
        <v>12.2</v>
      </c>
      <c r="AI233" s="41">
        <v>1.1399999999999999</v>
      </c>
      <c r="AJ233" s="40">
        <v>2560</v>
      </c>
      <c r="AK233" s="40">
        <v>33.1</v>
      </c>
      <c r="AL233" s="40">
        <v>28.9</v>
      </c>
      <c r="AM233" s="40">
        <v>16.7</v>
      </c>
      <c r="AN233" s="40">
        <v>54</v>
      </c>
      <c r="AO233" s="134" t="s">
        <v>432</v>
      </c>
      <c r="AP233" s="39" t="s">
        <v>204</v>
      </c>
      <c r="AQ233" s="40">
        <f t="shared" si="54"/>
        <v>55.102336792553551</v>
      </c>
      <c r="AR233" s="41">
        <f t="shared" si="64"/>
        <v>20.265000000000001</v>
      </c>
      <c r="AS233" s="37">
        <f t="shared" si="55"/>
        <v>162.50977495523344</v>
      </c>
      <c r="AT233" s="42">
        <f t="shared" si="56"/>
        <v>5500</v>
      </c>
      <c r="AU233" s="31">
        <f t="shared" si="57"/>
        <v>3307.5</v>
      </c>
      <c r="AV233" s="31">
        <f t="shared" si="58"/>
        <v>20.412925189401015</v>
      </c>
      <c r="AW233" s="37">
        <f t="shared" si="59"/>
        <v>3149.1935051226737</v>
      </c>
      <c r="AX233" s="31">
        <f t="shared" si="60"/>
        <v>55.102336792553551</v>
      </c>
      <c r="AY233" s="42">
        <f t="shared" si="61"/>
        <v>6306.3582457529192</v>
      </c>
      <c r="AZ233" s="42">
        <f t="shared" si="65"/>
        <v>297598.78623409267</v>
      </c>
      <c r="BA233" s="42">
        <f t="shared" si="62"/>
        <v>6147.7854862048389</v>
      </c>
      <c r="BB233" s="42">
        <f t="shared" si="63"/>
        <v>610</v>
      </c>
      <c r="BC233" s="38">
        <f t="shared" si="66"/>
        <v>19.760000000000002</v>
      </c>
      <c r="BD233" s="38">
        <f t="shared" si="67"/>
        <v>52</v>
      </c>
      <c r="BE233" s="38">
        <f t="shared" si="68"/>
        <v>7.9040000000000008</v>
      </c>
      <c r="BH233" s="34">
        <v>54.8</v>
      </c>
      <c r="BI233" s="43">
        <v>1.6</v>
      </c>
    </row>
    <row r="234" spans="14:61">
      <c r="N234" s="156" t="s">
        <v>440</v>
      </c>
      <c r="O234" s="136">
        <v>14.1</v>
      </c>
      <c r="P234" s="137">
        <v>20.6</v>
      </c>
      <c r="Q234" s="137">
        <v>0.35</v>
      </c>
      <c r="R234" s="137">
        <v>8.14</v>
      </c>
      <c r="S234" s="137">
        <v>0.43</v>
      </c>
      <c r="T234" s="136">
        <v>0.93</v>
      </c>
      <c r="U234" s="136">
        <v>0.8125</v>
      </c>
      <c r="V234" s="136">
        <v>9.4700000000000006</v>
      </c>
      <c r="W234" s="136">
        <v>47.2</v>
      </c>
      <c r="X234" s="35">
        <f t="shared" si="52"/>
        <v>56.400000000000013</v>
      </c>
      <c r="Y234" s="36">
        <f t="shared" si="53"/>
        <v>2.0485754294930372</v>
      </c>
      <c r="Z234" s="136">
        <v>5.89</v>
      </c>
      <c r="AA234" s="136">
        <v>959</v>
      </c>
      <c r="AB234" s="137">
        <v>93</v>
      </c>
      <c r="AC234" s="136">
        <v>8.24</v>
      </c>
      <c r="AD234" s="136">
        <v>38.700000000000003</v>
      </c>
      <c r="AE234" s="137">
        <v>9.52</v>
      </c>
      <c r="AF234" s="136">
        <v>1.66</v>
      </c>
      <c r="AG234" s="138">
        <v>107</v>
      </c>
      <c r="AH234" s="136">
        <v>14.9</v>
      </c>
      <c r="AI234" s="138">
        <v>0.80300000000000005</v>
      </c>
      <c r="AJ234" s="136">
        <v>3940</v>
      </c>
      <c r="AK234" s="136">
        <v>41.1</v>
      </c>
      <c r="AL234" s="136">
        <v>36</v>
      </c>
      <c r="AM234" s="136">
        <v>16.899999999999999</v>
      </c>
      <c r="AN234" s="136">
        <v>52.4</v>
      </c>
      <c r="AO234" s="139" t="s">
        <v>432</v>
      </c>
      <c r="AP234" s="140" t="s">
        <v>69</v>
      </c>
      <c r="AQ234" s="40">
        <f t="shared" si="54"/>
        <v>70.361445442799138</v>
      </c>
      <c r="AR234" s="41">
        <f t="shared" si="64"/>
        <v>20.170000000000002</v>
      </c>
      <c r="AS234" s="37">
        <f t="shared" si="55"/>
        <v>198.45894635854748</v>
      </c>
      <c r="AT234" s="42">
        <f t="shared" si="56"/>
        <v>5350</v>
      </c>
      <c r="AU234" s="31">
        <f t="shared" si="57"/>
        <v>3255</v>
      </c>
      <c r="AV234" s="31">
        <f t="shared" si="58"/>
        <v>16.354729678746136</v>
      </c>
      <c r="AW234" s="37">
        <f t="shared" si="59"/>
        <v>4944.4962477651916</v>
      </c>
      <c r="AX234" s="31">
        <f t="shared" si="60"/>
        <v>70.361445442799138</v>
      </c>
      <c r="AY234" s="42">
        <f t="shared" si="61"/>
        <v>6245.6086370343846</v>
      </c>
      <c r="AZ234" s="42">
        <f t="shared" si="65"/>
        <v>459838.15104216279</v>
      </c>
      <c r="BA234" s="42">
        <f t="shared" si="62"/>
        <v>5968.9786059745211</v>
      </c>
      <c r="BB234" s="42">
        <f t="shared" si="63"/>
        <v>745</v>
      </c>
      <c r="BC234" s="38">
        <f t="shared" si="66"/>
        <v>19.670000000000002</v>
      </c>
      <c r="BD234" s="38">
        <f t="shared" si="67"/>
        <v>56.20000000000001</v>
      </c>
      <c r="BE234" s="38">
        <f t="shared" si="68"/>
        <v>7.21</v>
      </c>
      <c r="BH234" s="136">
        <v>58.86</v>
      </c>
      <c r="BI234" s="138">
        <v>2.04</v>
      </c>
    </row>
    <row r="235" spans="14:61">
      <c r="N235" s="30" t="s">
        <v>441</v>
      </c>
      <c r="O235" s="40">
        <v>13</v>
      </c>
      <c r="P235" s="128">
        <v>20.7</v>
      </c>
      <c r="Q235" s="128">
        <v>0.35</v>
      </c>
      <c r="R235" s="128">
        <v>6.5</v>
      </c>
      <c r="S235" s="128">
        <v>0.45</v>
      </c>
      <c r="T235" s="40">
        <v>0.95</v>
      </c>
      <c r="U235" s="132">
        <v>0.8125</v>
      </c>
      <c r="V235" s="40">
        <v>7.22</v>
      </c>
      <c r="W235" s="84" t="s">
        <v>127</v>
      </c>
      <c r="X235" s="35">
        <f t="shared" si="52"/>
        <v>56.571428571428577</v>
      </c>
      <c r="Y235" s="36">
        <f t="shared" si="53"/>
        <v>1.6026460197766326</v>
      </c>
      <c r="Z235" s="34">
        <v>7.06</v>
      </c>
      <c r="AA235" s="40">
        <v>843</v>
      </c>
      <c r="AB235" s="128">
        <v>81.599999999999994</v>
      </c>
      <c r="AC235" s="40">
        <v>8.06</v>
      </c>
      <c r="AD235" s="40">
        <v>20.7</v>
      </c>
      <c r="AE235" s="128">
        <v>6.37</v>
      </c>
      <c r="AF235" s="40">
        <v>1.26</v>
      </c>
      <c r="AG235" s="41">
        <v>95.4</v>
      </c>
      <c r="AH235" s="40">
        <v>10.199999999999999</v>
      </c>
      <c r="AI235" s="41">
        <v>0.77</v>
      </c>
      <c r="AJ235" s="40">
        <v>2110</v>
      </c>
      <c r="AK235" s="40">
        <v>32.799999999999997</v>
      </c>
      <c r="AL235" s="40">
        <v>24</v>
      </c>
      <c r="AM235" s="40">
        <v>14</v>
      </c>
      <c r="AN235" s="40">
        <v>46.6</v>
      </c>
      <c r="AO235" s="134" t="s">
        <v>432</v>
      </c>
      <c r="AP235" s="39" t="s">
        <v>204</v>
      </c>
      <c r="AQ235" s="40">
        <f t="shared" si="54"/>
        <v>53.406880275859592</v>
      </c>
      <c r="AR235" s="41">
        <f t="shared" si="64"/>
        <v>20.25</v>
      </c>
      <c r="AS235" s="37">
        <f t="shared" si="55"/>
        <v>156.19002631379789</v>
      </c>
      <c r="AT235" s="42">
        <f t="shared" si="56"/>
        <v>4770</v>
      </c>
      <c r="AU235" s="31">
        <f t="shared" si="57"/>
        <v>2856</v>
      </c>
      <c r="AV235" s="31">
        <f t="shared" si="58"/>
        <v>18.621730057703463</v>
      </c>
      <c r="AW235" s="37">
        <f t="shared" si="59"/>
        <v>3028.4460337225751</v>
      </c>
      <c r="AX235" s="31">
        <f t="shared" si="60"/>
        <v>53.406880275859592</v>
      </c>
      <c r="AY235" s="42">
        <f t="shared" si="61"/>
        <v>5474.0295188209711</v>
      </c>
      <c r="AZ235" s="42">
        <f t="shared" si="65"/>
        <v>247121.1963517621</v>
      </c>
      <c r="BA235" s="42">
        <f t="shared" si="62"/>
        <v>5335.5012180597769</v>
      </c>
      <c r="BB235" s="42">
        <f t="shared" si="63"/>
        <v>509.99999999999994</v>
      </c>
      <c r="BC235" s="38">
        <f t="shared" si="66"/>
        <v>19.75</v>
      </c>
      <c r="BD235" s="38">
        <f t="shared" si="67"/>
        <v>56.428571428571431</v>
      </c>
      <c r="BE235" s="38">
        <f t="shared" si="68"/>
        <v>7.2449999999999992</v>
      </c>
      <c r="BH235" s="34">
        <v>59</v>
      </c>
      <c r="BI235" s="43">
        <v>1.57</v>
      </c>
    </row>
    <row r="236" spans="14:61">
      <c r="N236" s="123" t="s">
        <v>442</v>
      </c>
      <c r="O236" s="80">
        <v>91.5</v>
      </c>
      <c r="P236" s="124">
        <v>22.32</v>
      </c>
      <c r="Q236" s="124">
        <v>1.52</v>
      </c>
      <c r="R236" s="124">
        <v>12.005000000000001</v>
      </c>
      <c r="S236" s="124">
        <v>2.74</v>
      </c>
      <c r="T236" s="80">
        <v>3.4375</v>
      </c>
      <c r="U236" s="80">
        <v>1.1875</v>
      </c>
      <c r="V236" s="80">
        <v>2.2000000000000002</v>
      </c>
      <c r="W236" s="125" t="s">
        <v>127</v>
      </c>
      <c r="X236" s="35">
        <f t="shared" si="52"/>
        <v>11.078947368421053</v>
      </c>
      <c r="Y236" s="36">
        <f t="shared" si="53"/>
        <v>3.5316903231259587</v>
      </c>
      <c r="Z236" s="80">
        <v>0.68</v>
      </c>
      <c r="AA236" s="80">
        <v>6960</v>
      </c>
      <c r="AB236" s="124">
        <v>624</v>
      </c>
      <c r="AC236" s="80">
        <v>8.7200000000000006</v>
      </c>
      <c r="AD236" s="80">
        <v>795</v>
      </c>
      <c r="AE236" s="124">
        <v>132</v>
      </c>
      <c r="AF236" s="80">
        <v>2.95</v>
      </c>
      <c r="AG236" s="81">
        <v>753</v>
      </c>
      <c r="AH236" s="80">
        <v>207</v>
      </c>
      <c r="AI236" s="81">
        <v>177</v>
      </c>
      <c r="AJ236" s="80">
        <v>75700</v>
      </c>
      <c r="AK236" s="80">
        <v>58.8</v>
      </c>
      <c r="AL236" s="80">
        <v>483</v>
      </c>
      <c r="AM236" s="80">
        <v>141</v>
      </c>
      <c r="AN236" s="80">
        <v>376</v>
      </c>
      <c r="AO236" s="125" t="s">
        <v>443</v>
      </c>
      <c r="AP236" s="126" t="s">
        <v>69</v>
      </c>
      <c r="AQ236" s="40">
        <f t="shared" si="54"/>
        <v>125.0399181061792</v>
      </c>
      <c r="AR236" s="41">
        <f t="shared" si="64"/>
        <v>19.579999999999998</v>
      </c>
      <c r="AS236" s="37">
        <f t="shared" si="55"/>
        <v>976.90761514438293</v>
      </c>
      <c r="AT236" s="42">
        <f t="shared" si="56"/>
        <v>37650</v>
      </c>
      <c r="AU236" s="31">
        <f t="shared" si="57"/>
        <v>21840</v>
      </c>
      <c r="AV236" s="31">
        <f t="shared" si="58"/>
        <v>18.55921999973544</v>
      </c>
      <c r="AW236" s="37">
        <f t="shared" si="59"/>
        <v>14842.217859939456</v>
      </c>
      <c r="AX236" s="31">
        <f t="shared" si="60"/>
        <v>125.0399181061792</v>
      </c>
      <c r="AY236" s="42">
        <f t="shared" si="61"/>
        <v>39681.119516885607</v>
      </c>
      <c r="AZ236" s="42">
        <f t="shared" si="65"/>
        <v>9261543.9446022194</v>
      </c>
      <c r="BA236" s="42">
        <f t="shared" si="62"/>
        <v>42321.146425039224</v>
      </c>
      <c r="BB236" s="42">
        <f t="shared" si="63"/>
        <v>10350</v>
      </c>
      <c r="BC236" s="38">
        <f t="shared" si="66"/>
        <v>18.8825</v>
      </c>
      <c r="BD236" s="38">
        <f t="shared" si="67"/>
        <v>12.422697368421053</v>
      </c>
      <c r="BE236" s="38">
        <f t="shared" si="68"/>
        <v>33.926400000000001</v>
      </c>
      <c r="BH236" s="80">
        <v>14.7</v>
      </c>
      <c r="BI236" s="81">
        <v>3.26</v>
      </c>
    </row>
    <row r="237" spans="14:61">
      <c r="N237" s="123" t="s">
        <v>444</v>
      </c>
      <c r="O237" s="80">
        <v>83.2</v>
      </c>
      <c r="P237" s="124">
        <v>21.85</v>
      </c>
      <c r="Q237" s="124">
        <v>1.4</v>
      </c>
      <c r="R237" s="124">
        <v>11.89</v>
      </c>
      <c r="S237" s="124">
        <v>2.5</v>
      </c>
      <c r="T237" s="80">
        <v>3.1875</v>
      </c>
      <c r="U237" s="80">
        <v>1.1875</v>
      </c>
      <c r="V237" s="80">
        <v>2.4</v>
      </c>
      <c r="W237" s="125" t="s">
        <v>127</v>
      </c>
      <c r="X237" s="35">
        <f t="shared" si="52"/>
        <v>12.035714285714288</v>
      </c>
      <c r="Y237" s="36">
        <f t="shared" si="53"/>
        <v>3.4751396726866752</v>
      </c>
      <c r="Z237" s="80">
        <v>0.74</v>
      </c>
      <c r="AA237" s="80">
        <v>6160</v>
      </c>
      <c r="AB237" s="124">
        <v>564</v>
      </c>
      <c r="AC237" s="80">
        <v>8.61</v>
      </c>
      <c r="AD237" s="80">
        <v>704</v>
      </c>
      <c r="AE237" s="124">
        <v>118</v>
      </c>
      <c r="AF237" s="80">
        <v>2.91</v>
      </c>
      <c r="AG237" s="81">
        <v>676</v>
      </c>
      <c r="AH237" s="80">
        <v>185</v>
      </c>
      <c r="AI237" s="81">
        <v>135</v>
      </c>
      <c r="AJ237" s="80">
        <v>65600</v>
      </c>
      <c r="AK237" s="80">
        <v>57.5</v>
      </c>
      <c r="AL237" s="80">
        <v>427</v>
      </c>
      <c r="AM237" s="80">
        <v>127</v>
      </c>
      <c r="AN237" s="80">
        <v>338</v>
      </c>
      <c r="AO237" s="125" t="s">
        <v>443</v>
      </c>
      <c r="AP237" s="126" t="s">
        <v>69</v>
      </c>
      <c r="AQ237" s="40">
        <f t="shared" si="54"/>
        <v>123.34446158948525</v>
      </c>
      <c r="AR237" s="41">
        <f t="shared" si="64"/>
        <v>19.350000000000001</v>
      </c>
      <c r="AS237" s="37">
        <f t="shared" si="55"/>
        <v>890.12408783254671</v>
      </c>
      <c r="AT237" s="42">
        <f t="shared" si="56"/>
        <v>33800</v>
      </c>
      <c r="AU237" s="31">
        <f t="shared" si="57"/>
        <v>19740</v>
      </c>
      <c r="AV237" s="31">
        <f t="shared" si="58"/>
        <v>18.336428771443547</v>
      </c>
      <c r="AW237" s="37">
        <f t="shared" si="59"/>
        <v>14352.38838542208</v>
      </c>
      <c r="AX237" s="31">
        <f t="shared" si="60"/>
        <v>123.34446158948525</v>
      </c>
      <c r="AY237" s="42">
        <f t="shared" si="61"/>
        <v>35775.648645453133</v>
      </c>
      <c r="AZ237" s="42">
        <f t="shared" si="65"/>
        <v>8094747.0493780533</v>
      </c>
      <c r="BA237" s="42">
        <f t="shared" si="62"/>
        <v>37954.09985680275</v>
      </c>
      <c r="BB237" s="42">
        <f t="shared" si="63"/>
        <v>9250</v>
      </c>
      <c r="BC237" s="38">
        <f t="shared" si="66"/>
        <v>18.662500000000001</v>
      </c>
      <c r="BD237" s="38">
        <f t="shared" si="67"/>
        <v>13.330357142857144</v>
      </c>
      <c r="BE237" s="38">
        <f t="shared" si="68"/>
        <v>30.59</v>
      </c>
      <c r="BH237" s="80">
        <v>15.6</v>
      </c>
      <c r="BI237" s="81">
        <v>3.23</v>
      </c>
    </row>
    <row r="238" spans="14:61">
      <c r="N238" s="123" t="s">
        <v>445</v>
      </c>
      <c r="O238" s="80">
        <v>75.900000000000006</v>
      </c>
      <c r="P238" s="124">
        <v>21.46</v>
      </c>
      <c r="Q238" s="124">
        <v>1.28</v>
      </c>
      <c r="R238" s="124">
        <v>11.77</v>
      </c>
      <c r="S238" s="124">
        <v>2.2999999999999998</v>
      </c>
      <c r="T238" s="80">
        <v>3</v>
      </c>
      <c r="U238" s="80">
        <v>1.125</v>
      </c>
      <c r="V238" s="80">
        <v>2.6</v>
      </c>
      <c r="W238" s="125" t="s">
        <v>127</v>
      </c>
      <c r="X238" s="35">
        <f t="shared" si="52"/>
        <v>13.171875</v>
      </c>
      <c r="Y238" s="36">
        <f t="shared" si="53"/>
        <v>3.4212201159399349</v>
      </c>
      <c r="Z238" s="80">
        <v>0.79</v>
      </c>
      <c r="AA238" s="80">
        <v>5510</v>
      </c>
      <c r="AB238" s="124">
        <v>514</v>
      </c>
      <c r="AC238" s="80">
        <v>8.5299999999999994</v>
      </c>
      <c r="AD238" s="80">
        <v>628</v>
      </c>
      <c r="AE238" s="124">
        <v>107</v>
      </c>
      <c r="AF238" s="80">
        <v>2.88</v>
      </c>
      <c r="AG238" s="81">
        <v>611</v>
      </c>
      <c r="AH238" s="80">
        <v>166</v>
      </c>
      <c r="AI238" s="81">
        <v>104</v>
      </c>
      <c r="AJ238" s="80">
        <v>57400</v>
      </c>
      <c r="AK238" s="80">
        <v>56.4</v>
      </c>
      <c r="AL238" s="80">
        <v>382</v>
      </c>
      <c r="AM238" s="80">
        <v>116</v>
      </c>
      <c r="AN238" s="80">
        <v>306</v>
      </c>
      <c r="AO238" s="125" t="s">
        <v>443</v>
      </c>
      <c r="AP238" s="126" t="s">
        <v>69</v>
      </c>
      <c r="AQ238" s="40">
        <f t="shared" si="54"/>
        <v>122.07286920196476</v>
      </c>
      <c r="AR238" s="41">
        <f t="shared" si="64"/>
        <v>19.16</v>
      </c>
      <c r="AS238" s="37">
        <f t="shared" si="55"/>
        <v>811.96976417834958</v>
      </c>
      <c r="AT238" s="42">
        <f t="shared" si="56"/>
        <v>30550</v>
      </c>
      <c r="AU238" s="31">
        <f t="shared" si="57"/>
        <v>17990</v>
      </c>
      <c r="AV238" s="31">
        <f t="shared" si="58"/>
        <v>18.205618972136307</v>
      </c>
      <c r="AW238" s="37">
        <f t="shared" si="59"/>
        <v>13894.646405492711</v>
      </c>
      <c r="AX238" s="31">
        <f t="shared" si="60"/>
        <v>122.07286920196476</v>
      </c>
      <c r="AY238" s="42">
        <f t="shared" si="61"/>
        <v>32488.404487561078</v>
      </c>
      <c r="AZ238" s="42">
        <f t="shared" si="65"/>
        <v>7141848.2524232538</v>
      </c>
      <c r="BA238" s="42">
        <f t="shared" si="62"/>
        <v>34260.917084028632</v>
      </c>
      <c r="BB238" s="42">
        <f t="shared" si="63"/>
        <v>8300</v>
      </c>
      <c r="BC238" s="38">
        <f t="shared" si="66"/>
        <v>18.46</v>
      </c>
      <c r="BD238" s="38">
        <f t="shared" si="67"/>
        <v>14.421875</v>
      </c>
      <c r="BE238" s="38">
        <f t="shared" si="68"/>
        <v>27.468800000000002</v>
      </c>
      <c r="BH238" s="80">
        <v>16.798999999999999</v>
      </c>
      <c r="BI238" s="81">
        <v>3.19</v>
      </c>
    </row>
    <row r="239" spans="14:61">
      <c r="N239" s="123" t="s">
        <v>446</v>
      </c>
      <c r="O239" s="80">
        <v>68.8</v>
      </c>
      <c r="P239" s="124">
        <v>21.06</v>
      </c>
      <c r="Q239" s="124">
        <v>1.1599999999999999</v>
      </c>
      <c r="R239" s="124">
        <v>11.65</v>
      </c>
      <c r="S239" s="124">
        <v>2.11</v>
      </c>
      <c r="T239" s="80">
        <v>2.75</v>
      </c>
      <c r="U239" s="80">
        <v>1</v>
      </c>
      <c r="V239" s="80">
        <v>2.8</v>
      </c>
      <c r="W239" s="125" t="s">
        <v>127</v>
      </c>
      <c r="X239" s="35">
        <f t="shared" si="52"/>
        <v>14.517241379310345</v>
      </c>
      <c r="Y239" s="36">
        <f t="shared" si="53"/>
        <v>3.3683231523072572</v>
      </c>
      <c r="Z239" s="80">
        <v>0.86</v>
      </c>
      <c r="AA239" s="80">
        <v>4900</v>
      </c>
      <c r="AB239" s="124">
        <v>466</v>
      </c>
      <c r="AC239" s="80">
        <v>8.44</v>
      </c>
      <c r="AD239" s="80">
        <v>558</v>
      </c>
      <c r="AE239" s="124">
        <v>95.8</v>
      </c>
      <c r="AF239" s="80">
        <v>2.85</v>
      </c>
      <c r="AG239" s="81">
        <v>549</v>
      </c>
      <c r="AH239" s="80">
        <v>149</v>
      </c>
      <c r="AI239" s="81">
        <v>79.7</v>
      </c>
      <c r="AJ239" s="80">
        <v>49900</v>
      </c>
      <c r="AK239" s="80">
        <v>55.2</v>
      </c>
      <c r="AL239" s="80">
        <v>339</v>
      </c>
      <c r="AM239" s="80">
        <v>105</v>
      </c>
      <c r="AN239" s="80">
        <v>274</v>
      </c>
      <c r="AO239" s="125" t="s">
        <v>443</v>
      </c>
      <c r="AP239" s="126" t="s">
        <v>69</v>
      </c>
      <c r="AQ239" s="40">
        <f t="shared" si="54"/>
        <v>120.80127681444431</v>
      </c>
      <c r="AR239" s="41">
        <f t="shared" si="64"/>
        <v>18.95</v>
      </c>
      <c r="AS239" s="37">
        <f t="shared" si="55"/>
        <v>741.83656279668298</v>
      </c>
      <c r="AT239" s="42">
        <f t="shared" si="56"/>
        <v>27450</v>
      </c>
      <c r="AU239" s="31">
        <f t="shared" si="57"/>
        <v>16310</v>
      </c>
      <c r="AV239" s="31">
        <f t="shared" si="58"/>
        <v>17.937789126395305</v>
      </c>
      <c r="AW239" s="37">
        <f t="shared" si="59"/>
        <v>13454.885816638815</v>
      </c>
      <c r="AX239" s="31">
        <f t="shared" si="60"/>
        <v>120.80127681444431</v>
      </c>
      <c r="AY239" s="42">
        <f t="shared" si="61"/>
        <v>29337.078319325043</v>
      </c>
      <c r="AZ239" s="42">
        <f t="shared" si="65"/>
        <v>6269976.7905536871</v>
      </c>
      <c r="BA239" s="42">
        <f t="shared" si="62"/>
        <v>30741.370725802466</v>
      </c>
      <c r="BB239" s="42">
        <f t="shared" si="63"/>
        <v>7450</v>
      </c>
      <c r="BC239" s="38">
        <f t="shared" si="66"/>
        <v>18.309999999999999</v>
      </c>
      <c r="BD239" s="38">
        <f t="shared" si="67"/>
        <v>15.78448275862069</v>
      </c>
      <c r="BE239" s="38">
        <f t="shared" si="68"/>
        <v>24.429599999999997</v>
      </c>
      <c r="BH239" s="80">
        <v>18.2</v>
      </c>
      <c r="BI239" s="81">
        <v>3.16</v>
      </c>
    </row>
    <row r="240" spans="14:61">
      <c r="N240" s="123" t="s">
        <v>447</v>
      </c>
      <c r="O240" s="80">
        <v>62.1</v>
      </c>
      <c r="P240" s="124">
        <v>20.67</v>
      </c>
      <c r="Q240" s="124">
        <v>1.06</v>
      </c>
      <c r="R240" s="124">
        <v>11.555</v>
      </c>
      <c r="S240" s="124">
        <v>1.91</v>
      </c>
      <c r="T240" s="80">
        <v>2.5625</v>
      </c>
      <c r="U240" s="80">
        <v>1</v>
      </c>
      <c r="V240" s="80">
        <v>3</v>
      </c>
      <c r="W240" s="125" t="s">
        <v>127</v>
      </c>
      <c r="X240" s="35">
        <f t="shared" si="52"/>
        <v>15.89622641509434</v>
      </c>
      <c r="Y240" s="36">
        <f t="shared" si="53"/>
        <v>3.3221395182201916</v>
      </c>
      <c r="Z240" s="80">
        <v>0.94</v>
      </c>
      <c r="AA240" s="80">
        <v>4330</v>
      </c>
      <c r="AB240" s="124">
        <v>419</v>
      </c>
      <c r="AC240" s="80">
        <v>8.35</v>
      </c>
      <c r="AD240" s="80">
        <v>493</v>
      </c>
      <c r="AE240" s="124">
        <v>85.3</v>
      </c>
      <c r="AF240" s="80">
        <v>2.82</v>
      </c>
      <c r="AG240" s="81">
        <v>490</v>
      </c>
      <c r="AH240" s="80">
        <v>132</v>
      </c>
      <c r="AI240" s="81">
        <v>59.3</v>
      </c>
      <c r="AJ240" s="80">
        <v>43200</v>
      </c>
      <c r="AK240" s="80">
        <v>54.2</v>
      </c>
      <c r="AL240" s="80">
        <v>299</v>
      </c>
      <c r="AM240" s="80">
        <v>94.3</v>
      </c>
      <c r="AN240" s="80">
        <v>245</v>
      </c>
      <c r="AO240" s="125" t="s">
        <v>443</v>
      </c>
      <c r="AP240" s="126" t="s">
        <v>69</v>
      </c>
      <c r="AQ240" s="40">
        <f t="shared" si="54"/>
        <v>119.52968442692384</v>
      </c>
      <c r="AR240" s="41">
        <f t="shared" si="64"/>
        <v>18.760000000000002</v>
      </c>
      <c r="AS240" s="37">
        <f t="shared" si="55"/>
        <v>672.87874051141523</v>
      </c>
      <c r="AT240" s="42">
        <f t="shared" si="56"/>
        <v>24500</v>
      </c>
      <c r="AU240" s="31">
        <f t="shared" si="57"/>
        <v>14665</v>
      </c>
      <c r="AV240" s="31">
        <f t="shared" si="58"/>
        <v>17.773591355866131</v>
      </c>
      <c r="AW240" s="37">
        <f t="shared" si="59"/>
        <v>13074.745250661192</v>
      </c>
      <c r="AX240" s="31">
        <f t="shared" si="60"/>
        <v>119.52968442692384</v>
      </c>
      <c r="AY240" s="42">
        <f t="shared" si="61"/>
        <v>26347.203740748268</v>
      </c>
      <c r="AZ240" s="42">
        <f t="shared" si="65"/>
        <v>5478318.2600270389</v>
      </c>
      <c r="BA240" s="42">
        <f t="shared" si="62"/>
        <v>27405.801713488981</v>
      </c>
      <c r="BB240" s="42">
        <f t="shared" si="63"/>
        <v>6600</v>
      </c>
      <c r="BC240" s="38">
        <f t="shared" si="66"/>
        <v>18.107500000000002</v>
      </c>
      <c r="BD240" s="38">
        <f t="shared" si="67"/>
        <v>17.08254716981132</v>
      </c>
      <c r="BE240" s="38">
        <f t="shared" si="68"/>
        <v>21.910200000000003</v>
      </c>
      <c r="BH240" s="80">
        <v>19.5</v>
      </c>
      <c r="BI240" s="81">
        <v>3.13</v>
      </c>
    </row>
    <row r="241" spans="14:61">
      <c r="N241" s="123" t="s">
        <v>448</v>
      </c>
      <c r="O241" s="80">
        <v>56.4</v>
      </c>
      <c r="P241" s="124">
        <v>20.350000000000001</v>
      </c>
      <c r="Q241" s="124">
        <v>0.96</v>
      </c>
      <c r="R241" s="124">
        <v>11.455</v>
      </c>
      <c r="S241" s="124">
        <v>1.75</v>
      </c>
      <c r="T241" s="80">
        <v>2.4375</v>
      </c>
      <c r="U241" s="80">
        <v>0.9375</v>
      </c>
      <c r="V241" s="80">
        <v>3.3</v>
      </c>
      <c r="W241" s="125" t="s">
        <v>127</v>
      </c>
      <c r="X241" s="35">
        <f t="shared" si="52"/>
        <v>17.552083333333336</v>
      </c>
      <c r="Y241" s="36">
        <f t="shared" si="53"/>
        <v>3.2815272439264587</v>
      </c>
      <c r="Z241" s="80">
        <v>1.02</v>
      </c>
      <c r="AA241" s="80">
        <v>3870</v>
      </c>
      <c r="AB241" s="124">
        <v>380</v>
      </c>
      <c r="AC241" s="80">
        <v>8.2799999999999994</v>
      </c>
      <c r="AD241" s="80">
        <v>440</v>
      </c>
      <c r="AE241" s="124">
        <v>76.8</v>
      </c>
      <c r="AF241" s="80">
        <v>2.79</v>
      </c>
      <c r="AG241" s="81">
        <v>442</v>
      </c>
      <c r="AH241" s="80">
        <v>119</v>
      </c>
      <c r="AI241" s="81">
        <v>45.2</v>
      </c>
      <c r="AJ241" s="80">
        <v>37900</v>
      </c>
      <c r="AK241" s="80">
        <v>53.3</v>
      </c>
      <c r="AL241" s="80">
        <v>267</v>
      </c>
      <c r="AM241" s="80">
        <v>85.7</v>
      </c>
      <c r="AN241" s="80">
        <v>221</v>
      </c>
      <c r="AO241" s="125" t="s">
        <v>443</v>
      </c>
      <c r="AP241" s="126" t="s">
        <v>69</v>
      </c>
      <c r="AQ241" s="40">
        <f t="shared" si="54"/>
        <v>118.25809203940338</v>
      </c>
      <c r="AR241" s="41">
        <f t="shared" si="64"/>
        <v>18.600000000000001</v>
      </c>
      <c r="AS241" s="37">
        <f t="shared" si="55"/>
        <v>616.4581711577365</v>
      </c>
      <c r="AT241" s="42">
        <f t="shared" si="56"/>
        <v>22100</v>
      </c>
      <c r="AU241" s="31">
        <f t="shared" si="57"/>
        <v>13300</v>
      </c>
      <c r="AV241" s="31">
        <f t="shared" si="58"/>
        <v>17.663586114986973</v>
      </c>
      <c r="AW241" s="37">
        <f t="shared" si="59"/>
        <v>12746.304369015657</v>
      </c>
      <c r="AX241" s="31">
        <f t="shared" si="60"/>
        <v>118.25809203940338</v>
      </c>
      <c r="AY241" s="42">
        <f t="shared" si="61"/>
        <v>23913.310049138261</v>
      </c>
      <c r="AZ241" s="42">
        <f t="shared" si="65"/>
        <v>4843595.6602259502</v>
      </c>
      <c r="BA241" s="42">
        <f t="shared" si="62"/>
        <v>24700.005600274839</v>
      </c>
      <c r="BB241" s="42">
        <f t="shared" si="63"/>
        <v>5950</v>
      </c>
      <c r="BC241" s="38">
        <f t="shared" si="66"/>
        <v>17.912500000000001</v>
      </c>
      <c r="BD241" s="38">
        <f t="shared" si="67"/>
        <v>18.658854166666668</v>
      </c>
      <c r="BE241" s="38">
        <f t="shared" si="68"/>
        <v>19.536000000000001</v>
      </c>
      <c r="BH241" s="80">
        <v>21.2</v>
      </c>
      <c r="BI241" s="81">
        <v>3.1</v>
      </c>
    </row>
    <row r="242" spans="14:61">
      <c r="N242" s="30" t="s">
        <v>449</v>
      </c>
      <c r="O242" s="40">
        <v>51.3</v>
      </c>
      <c r="P242" s="128">
        <v>20</v>
      </c>
      <c r="Q242" s="128">
        <v>0.89</v>
      </c>
      <c r="R242" s="128">
        <v>11.4</v>
      </c>
      <c r="S242" s="128">
        <v>1.59</v>
      </c>
      <c r="T242" s="40">
        <v>1.99</v>
      </c>
      <c r="U242" s="132">
        <v>1.25</v>
      </c>
      <c r="V242" s="40">
        <v>3.58</v>
      </c>
      <c r="W242" s="84" t="s">
        <v>127</v>
      </c>
      <c r="X242" s="35">
        <f t="shared" si="52"/>
        <v>18.898876404494381</v>
      </c>
      <c r="Y242" s="36">
        <f t="shared" si="53"/>
        <v>3.2346035125994859</v>
      </c>
      <c r="Z242" s="34">
        <v>1.1100000000000001</v>
      </c>
      <c r="AA242" s="40">
        <v>3450</v>
      </c>
      <c r="AB242" s="128">
        <v>344</v>
      </c>
      <c r="AC242" s="40">
        <v>8.1999999999999993</v>
      </c>
      <c r="AD242" s="40">
        <v>391</v>
      </c>
      <c r="AE242" s="128">
        <v>68.8</v>
      </c>
      <c r="AF242" s="40">
        <v>2.76</v>
      </c>
      <c r="AG242" s="41">
        <v>398</v>
      </c>
      <c r="AH242" s="40">
        <v>106</v>
      </c>
      <c r="AI242" s="41">
        <v>33.799999999999997</v>
      </c>
      <c r="AJ242" s="40">
        <v>33300</v>
      </c>
      <c r="AK242" s="40">
        <v>52.5</v>
      </c>
      <c r="AL242" s="40">
        <v>237</v>
      </c>
      <c r="AM242" s="40">
        <v>76.900000000000006</v>
      </c>
      <c r="AN242" s="40">
        <v>198</v>
      </c>
      <c r="AO242" s="130" t="s">
        <v>450</v>
      </c>
      <c r="AP242" s="39" t="s">
        <v>69</v>
      </c>
      <c r="AQ242" s="40">
        <f t="shared" si="54"/>
        <v>116.98649965188291</v>
      </c>
      <c r="AR242" s="41">
        <f t="shared" si="64"/>
        <v>18.41</v>
      </c>
      <c r="AS242" s="37">
        <f t="shared" si="55"/>
        <v>561.13624224476928</v>
      </c>
      <c r="AT242" s="42">
        <f t="shared" si="56"/>
        <v>19900</v>
      </c>
      <c r="AU242" s="31">
        <f t="shared" si="57"/>
        <v>12040</v>
      </c>
      <c r="AV242" s="31">
        <f t="shared" si="58"/>
        <v>17.696734335844436</v>
      </c>
      <c r="AW242" s="37">
        <f t="shared" si="59"/>
        <v>12374.643450214744</v>
      </c>
      <c r="AX242" s="31">
        <f t="shared" si="60"/>
        <v>116.98649965188291</v>
      </c>
      <c r="AY242" s="42">
        <f t="shared" si="61"/>
        <v>21694.209949580556</v>
      </c>
      <c r="AZ242" s="42">
        <f t="shared" si="65"/>
        <v>4256877.346873872</v>
      </c>
      <c r="BA242" s="42">
        <f t="shared" si="62"/>
        <v>22222.277729336391</v>
      </c>
      <c r="BB242" s="42">
        <f t="shared" si="63"/>
        <v>5300</v>
      </c>
      <c r="BC242" s="38">
        <f t="shared" si="66"/>
        <v>18.010000000000002</v>
      </c>
      <c r="BD242" s="38">
        <f t="shared" si="67"/>
        <v>20.235955056179776</v>
      </c>
      <c r="BE242" s="38">
        <f t="shared" si="68"/>
        <v>17.8</v>
      </c>
      <c r="BH242" s="34">
        <v>22.5</v>
      </c>
      <c r="BI242" s="43">
        <v>3.07</v>
      </c>
    </row>
    <row r="243" spans="14:61">
      <c r="N243" s="30" t="s">
        <v>451</v>
      </c>
      <c r="O243" s="40">
        <v>46.3</v>
      </c>
      <c r="P243" s="128">
        <v>19.7</v>
      </c>
      <c r="Q243" s="128">
        <v>0.81</v>
      </c>
      <c r="R243" s="128">
        <v>11.3</v>
      </c>
      <c r="S243" s="128">
        <v>1.44</v>
      </c>
      <c r="T243" s="40">
        <v>1.84</v>
      </c>
      <c r="U243" s="132">
        <v>1.25</v>
      </c>
      <c r="V243" s="40">
        <v>3.92</v>
      </c>
      <c r="W243" s="84" t="s">
        <v>127</v>
      </c>
      <c r="X243" s="35">
        <f t="shared" si="52"/>
        <v>20.76543209876543</v>
      </c>
      <c r="Y243" s="36">
        <f t="shared" si="53"/>
        <v>3.1968280650387433</v>
      </c>
      <c r="Z243" s="34">
        <v>1.21</v>
      </c>
      <c r="AA243" s="40">
        <v>3060</v>
      </c>
      <c r="AB243" s="128">
        <v>310</v>
      </c>
      <c r="AC243" s="40">
        <v>8.1199999999999992</v>
      </c>
      <c r="AD243" s="40">
        <v>347</v>
      </c>
      <c r="AE243" s="128">
        <v>61.4</v>
      </c>
      <c r="AF243" s="40">
        <v>2.74</v>
      </c>
      <c r="AG243" s="41">
        <v>356</v>
      </c>
      <c r="AH243" s="40">
        <v>94.8</v>
      </c>
      <c r="AI243" s="41">
        <v>25.2</v>
      </c>
      <c r="AJ243" s="40">
        <v>29000</v>
      </c>
      <c r="AK243" s="40">
        <v>51.6</v>
      </c>
      <c r="AL243" s="40">
        <v>210</v>
      </c>
      <c r="AM243" s="40">
        <v>69</v>
      </c>
      <c r="AN243" s="40">
        <v>177</v>
      </c>
      <c r="AO243" s="130" t="s">
        <v>450</v>
      </c>
      <c r="AP243" s="39" t="s">
        <v>69</v>
      </c>
      <c r="AQ243" s="40">
        <f t="shared" si="54"/>
        <v>116.13877139353593</v>
      </c>
      <c r="AR243" s="41">
        <f t="shared" si="64"/>
        <v>18.259999999999998</v>
      </c>
      <c r="AS243" s="37">
        <f t="shared" si="55"/>
        <v>513.88589558649687</v>
      </c>
      <c r="AT243" s="42">
        <f t="shared" si="56"/>
        <v>17800</v>
      </c>
      <c r="AU243" s="31">
        <f t="shared" si="57"/>
        <v>10850</v>
      </c>
      <c r="AV243" s="31">
        <f t="shared" si="58"/>
        <v>17.473413576783809</v>
      </c>
      <c r="AW243" s="37">
        <f t="shared" si="59"/>
        <v>12078.828332244193</v>
      </c>
      <c r="AX243" s="31">
        <f t="shared" si="60"/>
        <v>116.13877139353593</v>
      </c>
      <c r="AY243" s="42">
        <f t="shared" si="61"/>
        <v>19556.755533060976</v>
      </c>
      <c r="AZ243" s="42">
        <f t="shared" si="65"/>
        <v>3744436.7829956999</v>
      </c>
      <c r="BA243" s="42">
        <f t="shared" si="62"/>
        <v>19853.413513853422</v>
      </c>
      <c r="BB243" s="42">
        <f t="shared" si="63"/>
        <v>4740</v>
      </c>
      <c r="BC243" s="38">
        <f t="shared" si="66"/>
        <v>17.86</v>
      </c>
      <c r="BD243" s="38">
        <f t="shared" si="67"/>
        <v>22.049382716049379</v>
      </c>
      <c r="BE243" s="38">
        <f t="shared" si="68"/>
        <v>15.957000000000001</v>
      </c>
      <c r="BH243" s="34">
        <v>24.3</v>
      </c>
      <c r="BI243" s="43">
        <v>3.05</v>
      </c>
    </row>
    <row r="244" spans="14:61">
      <c r="N244" s="30" t="s">
        <v>452</v>
      </c>
      <c r="O244" s="40">
        <v>42.1</v>
      </c>
      <c r="P244" s="128">
        <v>19.5</v>
      </c>
      <c r="Q244" s="128">
        <v>0.73</v>
      </c>
      <c r="R244" s="128">
        <v>11.2</v>
      </c>
      <c r="S244" s="128">
        <v>1.32</v>
      </c>
      <c r="T244" s="40">
        <v>1.72</v>
      </c>
      <c r="U244" s="132">
        <v>1.1875</v>
      </c>
      <c r="V244" s="40">
        <v>4.25</v>
      </c>
      <c r="W244" s="84" t="s">
        <v>127</v>
      </c>
      <c r="X244" s="35">
        <f t="shared" si="52"/>
        <v>23.095890410958905</v>
      </c>
      <c r="Y244" s="36">
        <f t="shared" si="53"/>
        <v>3.1661944403404148</v>
      </c>
      <c r="Z244" s="34">
        <v>1.32</v>
      </c>
      <c r="AA244" s="40">
        <v>2750</v>
      </c>
      <c r="AB244" s="128">
        <v>282</v>
      </c>
      <c r="AC244" s="40">
        <v>8.09</v>
      </c>
      <c r="AD244" s="40">
        <v>311</v>
      </c>
      <c r="AE244" s="128">
        <v>55.5</v>
      </c>
      <c r="AF244" s="40">
        <v>2.72</v>
      </c>
      <c r="AG244" s="41">
        <v>322</v>
      </c>
      <c r="AH244" s="40">
        <v>85.4</v>
      </c>
      <c r="AI244" s="41">
        <v>19.2</v>
      </c>
      <c r="AJ244" s="40">
        <v>25700</v>
      </c>
      <c r="AK244" s="40">
        <v>51</v>
      </c>
      <c r="AL244" s="40">
        <v>189</v>
      </c>
      <c r="AM244" s="40">
        <v>62.9</v>
      </c>
      <c r="AN244" s="40">
        <v>160</v>
      </c>
      <c r="AO244" s="130" t="s">
        <v>450</v>
      </c>
      <c r="AP244" s="39" t="s">
        <v>69</v>
      </c>
      <c r="AQ244" s="40">
        <f t="shared" si="54"/>
        <v>115.29104313518897</v>
      </c>
      <c r="AR244" s="41">
        <f t="shared" si="64"/>
        <v>18.18</v>
      </c>
      <c r="AS244" s="37">
        <f t="shared" si="55"/>
        <v>475.26043848395307</v>
      </c>
      <c r="AT244" s="42">
        <f t="shared" si="56"/>
        <v>16100</v>
      </c>
      <c r="AU244" s="31">
        <f t="shared" si="57"/>
        <v>9870</v>
      </c>
      <c r="AV244" s="31">
        <f t="shared" si="58"/>
        <v>17.307026876448564</v>
      </c>
      <c r="AW244" s="37">
        <f t="shared" si="59"/>
        <v>11841.525988820089</v>
      </c>
      <c r="AX244" s="31">
        <f t="shared" si="60"/>
        <v>115.29104313518897</v>
      </c>
      <c r="AY244" s="42">
        <f t="shared" si="61"/>
        <v>17825.355562881909</v>
      </c>
      <c r="AZ244" s="42">
        <f t="shared" si="65"/>
        <v>3339310.3288472649</v>
      </c>
      <c r="BA244" s="42">
        <f t="shared" si="62"/>
        <v>17940.685782921846</v>
      </c>
      <c r="BB244" s="42">
        <f t="shared" si="63"/>
        <v>4270</v>
      </c>
      <c r="BC244" s="38">
        <f t="shared" si="66"/>
        <v>17.78</v>
      </c>
      <c r="BD244" s="38">
        <f t="shared" si="67"/>
        <v>24.356164383561644</v>
      </c>
      <c r="BE244" s="38">
        <f t="shared" si="68"/>
        <v>14.234999999999999</v>
      </c>
      <c r="BH244" s="34">
        <v>26.7</v>
      </c>
      <c r="BI244" s="43">
        <v>3.03</v>
      </c>
    </row>
    <row r="245" spans="14:61">
      <c r="N245" s="30" t="s">
        <v>453</v>
      </c>
      <c r="O245" s="40">
        <v>38.200000000000003</v>
      </c>
      <c r="P245" s="128">
        <v>19.3</v>
      </c>
      <c r="Q245" s="128">
        <v>0.67</v>
      </c>
      <c r="R245" s="128">
        <v>11.2</v>
      </c>
      <c r="S245" s="128">
        <v>1.2</v>
      </c>
      <c r="T245" s="40">
        <v>1.6</v>
      </c>
      <c r="U245" s="132">
        <v>1.1875</v>
      </c>
      <c r="V245" s="40">
        <v>4.6500000000000004</v>
      </c>
      <c r="W245" s="84" t="s">
        <v>127</v>
      </c>
      <c r="X245" s="35">
        <f t="shared" si="52"/>
        <v>25.223880597014926</v>
      </c>
      <c r="Y245" s="36">
        <f t="shared" si="53"/>
        <v>3.1349217494221446</v>
      </c>
      <c r="Z245" s="34">
        <v>1.44</v>
      </c>
      <c r="AA245" s="40">
        <v>2460</v>
      </c>
      <c r="AB245" s="128">
        <v>256</v>
      </c>
      <c r="AC245" s="40">
        <v>8.0299999999999994</v>
      </c>
      <c r="AD245" s="40">
        <v>278</v>
      </c>
      <c r="AE245" s="128">
        <v>49.9</v>
      </c>
      <c r="AF245" s="40">
        <v>2.7</v>
      </c>
      <c r="AG245" s="41">
        <v>290</v>
      </c>
      <c r="AH245" s="40">
        <v>76.7</v>
      </c>
      <c r="AI245" s="41">
        <v>14.5</v>
      </c>
      <c r="AJ245" s="40">
        <v>22600</v>
      </c>
      <c r="AK245" s="40">
        <v>50.4</v>
      </c>
      <c r="AL245" s="40">
        <v>169</v>
      </c>
      <c r="AM245" s="40">
        <v>56.8</v>
      </c>
      <c r="AN245" s="40">
        <v>145</v>
      </c>
      <c r="AO245" s="130" t="s">
        <v>450</v>
      </c>
      <c r="AP245" s="39" t="s">
        <v>69</v>
      </c>
      <c r="AQ245" s="40">
        <f t="shared" si="54"/>
        <v>114.443314876842</v>
      </c>
      <c r="AR245" s="41">
        <f t="shared" si="64"/>
        <v>18.100000000000001</v>
      </c>
      <c r="AS245" s="37">
        <f t="shared" si="55"/>
        <v>440.43211722228119</v>
      </c>
      <c r="AT245" s="42">
        <f t="shared" si="56"/>
        <v>14500</v>
      </c>
      <c r="AU245" s="31">
        <f t="shared" si="57"/>
        <v>8960</v>
      </c>
      <c r="AV245" s="31">
        <f t="shared" si="58"/>
        <v>16.994448766769146</v>
      </c>
      <c r="AW245" s="37">
        <f t="shared" si="59"/>
        <v>11602.725735791924</v>
      </c>
      <c r="AX245" s="31">
        <f t="shared" si="60"/>
        <v>114.443314876842</v>
      </c>
      <c r="AY245" s="42">
        <f t="shared" si="61"/>
        <v>16179.787650612121</v>
      </c>
      <c r="AZ245" s="42">
        <f t="shared" si="65"/>
        <v>2970297.7883627326</v>
      </c>
      <c r="BA245" s="42">
        <f t="shared" si="62"/>
        <v>16136.82170744575</v>
      </c>
      <c r="BB245" s="42">
        <f t="shared" si="63"/>
        <v>3835</v>
      </c>
      <c r="BC245" s="38">
        <f t="shared" si="66"/>
        <v>17.7</v>
      </c>
      <c r="BD245" s="38">
        <f t="shared" si="67"/>
        <v>26.417910447761191</v>
      </c>
      <c r="BE245" s="38">
        <f t="shared" si="68"/>
        <v>12.931000000000001</v>
      </c>
      <c r="BH245" s="34">
        <v>28.7</v>
      </c>
      <c r="BI245" s="43">
        <v>3.01</v>
      </c>
    </row>
    <row r="246" spans="14:61">
      <c r="N246" s="30" t="s">
        <v>454</v>
      </c>
      <c r="O246" s="40">
        <v>35.1</v>
      </c>
      <c r="P246" s="128">
        <v>19</v>
      </c>
      <c r="Q246" s="128">
        <v>0.65500000000000003</v>
      </c>
      <c r="R246" s="128">
        <v>11.3</v>
      </c>
      <c r="S246" s="128">
        <v>1.06</v>
      </c>
      <c r="T246" s="40">
        <v>1.46</v>
      </c>
      <c r="U246" s="132">
        <v>1.1875</v>
      </c>
      <c r="V246" s="40">
        <v>5.31</v>
      </c>
      <c r="W246" s="84" t="s">
        <v>127</v>
      </c>
      <c r="X246" s="35">
        <f t="shared" si="52"/>
        <v>25.770992366412212</v>
      </c>
      <c r="Y246" s="36">
        <f t="shared" si="53"/>
        <v>3.1343716617985362</v>
      </c>
      <c r="Z246" s="34">
        <v>1.59</v>
      </c>
      <c r="AA246" s="40">
        <v>2190</v>
      </c>
      <c r="AB246" s="128">
        <v>231</v>
      </c>
      <c r="AC246" s="40">
        <v>7.9</v>
      </c>
      <c r="AD246" s="40">
        <v>253</v>
      </c>
      <c r="AE246" s="128">
        <v>44.9</v>
      </c>
      <c r="AF246" s="40">
        <v>2.69</v>
      </c>
      <c r="AG246" s="41">
        <v>262</v>
      </c>
      <c r="AH246" s="40">
        <v>69.099999999999994</v>
      </c>
      <c r="AI246" s="41">
        <v>10.6</v>
      </c>
      <c r="AJ246" s="40">
        <v>20300</v>
      </c>
      <c r="AK246" s="40">
        <v>50.4</v>
      </c>
      <c r="AL246" s="40">
        <v>151</v>
      </c>
      <c r="AM246" s="40">
        <v>50.4</v>
      </c>
      <c r="AN246" s="40">
        <v>130</v>
      </c>
      <c r="AO246" s="130" t="s">
        <v>450</v>
      </c>
      <c r="AP246" s="39" t="s">
        <v>69</v>
      </c>
      <c r="AQ246" s="40">
        <f t="shared" si="54"/>
        <v>114.01945074766849</v>
      </c>
      <c r="AR246" s="41">
        <f t="shared" si="64"/>
        <v>17.940000000000001</v>
      </c>
      <c r="AS246" s="37">
        <f t="shared" si="55"/>
        <v>411.61392149358232</v>
      </c>
      <c r="AT246" s="42">
        <f t="shared" si="56"/>
        <v>13100</v>
      </c>
      <c r="AU246" s="31">
        <f t="shared" si="57"/>
        <v>8085</v>
      </c>
      <c r="AV246" s="31">
        <f t="shared" si="58"/>
        <v>16.851791592195969</v>
      </c>
      <c r="AW246" s="37">
        <f t="shared" si="59"/>
        <v>11592.299527928162</v>
      </c>
      <c r="AX246" s="31">
        <f t="shared" si="60"/>
        <v>114.01945074766849</v>
      </c>
      <c r="AY246" s="42">
        <f t="shared" si="61"/>
        <v>14758.544072618106</v>
      </c>
      <c r="AZ246" s="42">
        <f t="shared" si="65"/>
        <v>2677821.1909514056</v>
      </c>
      <c r="BA246" s="42">
        <f t="shared" si="62"/>
        <v>14581.707736974808</v>
      </c>
      <c r="BB246" s="42">
        <f t="shared" si="63"/>
        <v>3454.9999999999995</v>
      </c>
      <c r="BC246" s="38">
        <f t="shared" si="66"/>
        <v>17.54</v>
      </c>
      <c r="BD246" s="38">
        <f t="shared" si="67"/>
        <v>26.778625954198471</v>
      </c>
      <c r="BE246" s="38">
        <f t="shared" si="68"/>
        <v>12.445</v>
      </c>
      <c r="BH246" s="34">
        <v>29</v>
      </c>
      <c r="BI246" s="43">
        <v>3.02</v>
      </c>
    </row>
    <row r="247" spans="14:61">
      <c r="N247" s="30" t="s">
        <v>455</v>
      </c>
      <c r="O247" s="40">
        <v>31.1</v>
      </c>
      <c r="P247" s="128">
        <v>18.7</v>
      </c>
      <c r="Q247" s="128">
        <v>0.59</v>
      </c>
      <c r="R247" s="128">
        <v>11.2</v>
      </c>
      <c r="S247" s="128">
        <v>0.94</v>
      </c>
      <c r="T247" s="40">
        <v>1.34</v>
      </c>
      <c r="U247" s="132">
        <v>1.125</v>
      </c>
      <c r="V247" s="40">
        <v>5.96</v>
      </c>
      <c r="W247" s="84" t="s">
        <v>127</v>
      </c>
      <c r="X247" s="35">
        <f t="shared" si="52"/>
        <v>28.508474576271187</v>
      </c>
      <c r="Y247" s="36">
        <f t="shared" si="53"/>
        <v>3.0945873049948505</v>
      </c>
      <c r="Z247" s="34">
        <v>1.78</v>
      </c>
      <c r="AA247" s="40">
        <v>1910</v>
      </c>
      <c r="AB247" s="128">
        <v>204</v>
      </c>
      <c r="AC247" s="40">
        <v>7.84</v>
      </c>
      <c r="AD247" s="40">
        <v>220</v>
      </c>
      <c r="AE247" s="128">
        <v>39.4</v>
      </c>
      <c r="AF247" s="40">
        <v>2.66</v>
      </c>
      <c r="AG247" s="41">
        <v>230</v>
      </c>
      <c r="AH247" s="40">
        <v>60.5</v>
      </c>
      <c r="AI247" s="41">
        <v>7.48</v>
      </c>
      <c r="AJ247" s="40">
        <v>17400</v>
      </c>
      <c r="AK247" s="40">
        <v>49.8</v>
      </c>
      <c r="AL247" s="40">
        <v>131</v>
      </c>
      <c r="AM247" s="40">
        <v>44.4</v>
      </c>
      <c r="AN247" s="40">
        <v>115</v>
      </c>
      <c r="AO247" s="130" t="s">
        <v>450</v>
      </c>
      <c r="AP247" s="39" t="s">
        <v>69</v>
      </c>
      <c r="AQ247" s="40">
        <f t="shared" si="54"/>
        <v>112.74785836014803</v>
      </c>
      <c r="AR247" s="41">
        <f t="shared" si="64"/>
        <v>17.759999999999998</v>
      </c>
      <c r="AS247" s="37">
        <f t="shared" si="55"/>
        <v>381.46730325503216</v>
      </c>
      <c r="AT247" s="42">
        <f t="shared" si="56"/>
        <v>11500</v>
      </c>
      <c r="AU247" s="31">
        <f t="shared" si="57"/>
        <v>7140</v>
      </c>
      <c r="AV247" s="31">
        <f t="shared" si="58"/>
        <v>16.225100501028184</v>
      </c>
      <c r="AW247" s="37">
        <f t="shared" si="59"/>
        <v>11295.10776901851</v>
      </c>
      <c r="AX247" s="31">
        <f t="shared" si="60"/>
        <v>112.74785836014803</v>
      </c>
      <c r="AY247" s="42">
        <f t="shared" si="61"/>
        <v>13076.233765353052</v>
      </c>
      <c r="AZ247" s="42">
        <f t="shared" si="65"/>
        <v>2304201.9848797759</v>
      </c>
      <c r="BA247" s="42">
        <f t="shared" si="62"/>
        <v>12788.184592863443</v>
      </c>
      <c r="BB247" s="42">
        <f t="shared" si="63"/>
        <v>3025</v>
      </c>
      <c r="BC247" s="38">
        <f t="shared" si="66"/>
        <v>17.36</v>
      </c>
      <c r="BD247" s="38">
        <f t="shared" si="67"/>
        <v>29.423728813559322</v>
      </c>
      <c r="BE247" s="38">
        <f t="shared" si="68"/>
        <v>11.032999999999999</v>
      </c>
      <c r="BH247" s="34">
        <v>31.7</v>
      </c>
      <c r="BI247" s="43">
        <v>3</v>
      </c>
    </row>
    <row r="248" spans="14:61">
      <c r="N248" s="158" t="s">
        <v>456</v>
      </c>
      <c r="O248" s="148">
        <v>28.5</v>
      </c>
      <c r="P248" s="148">
        <v>18.600000000000001</v>
      </c>
      <c r="Q248" s="148">
        <v>0.53500000000000003</v>
      </c>
      <c r="R248" s="148">
        <v>11.1</v>
      </c>
      <c r="S248" s="148">
        <v>0.87</v>
      </c>
      <c r="T248" s="148">
        <v>1.27</v>
      </c>
      <c r="U248" s="159">
        <v>1.125</v>
      </c>
      <c r="V248" s="148">
        <v>6.41</v>
      </c>
      <c r="W248" s="160" t="s">
        <v>127</v>
      </c>
      <c r="X248" s="35">
        <f t="shared" si="52"/>
        <v>31.514018691588788</v>
      </c>
      <c r="Y248" s="36">
        <f t="shared" si="53"/>
        <v>3.0786369255157284</v>
      </c>
      <c r="Z248" s="148">
        <v>1.92</v>
      </c>
      <c r="AA248" s="148">
        <v>1750</v>
      </c>
      <c r="AB248" s="148">
        <v>188</v>
      </c>
      <c r="AC248" s="148">
        <v>7.82</v>
      </c>
      <c r="AD248" s="148">
        <v>201</v>
      </c>
      <c r="AE248" s="148">
        <v>36.1</v>
      </c>
      <c r="AF248" s="148">
        <v>2.65</v>
      </c>
      <c r="AG248" s="148">
        <v>211</v>
      </c>
      <c r="AH248" s="148">
        <v>55.3</v>
      </c>
      <c r="AI248" s="148">
        <v>5.86</v>
      </c>
      <c r="AJ248" s="148">
        <v>15800</v>
      </c>
      <c r="AK248" s="148">
        <v>49.4</v>
      </c>
      <c r="AL248" s="148">
        <v>120</v>
      </c>
      <c r="AM248" s="148">
        <v>40.9</v>
      </c>
      <c r="AN248" s="148">
        <v>105</v>
      </c>
      <c r="AO248" s="161" t="s">
        <v>450</v>
      </c>
      <c r="AP248" s="162" t="s">
        <v>69</v>
      </c>
      <c r="AQ248" s="40">
        <f t="shared" si="54"/>
        <v>112.32399423097453</v>
      </c>
      <c r="AR248" s="41">
        <f t="shared" si="64"/>
        <v>17.73</v>
      </c>
      <c r="AS248" s="37">
        <f t="shared" si="55"/>
        <v>363.99782901413494</v>
      </c>
      <c r="AT248" s="42">
        <f t="shared" si="56"/>
        <v>10550</v>
      </c>
      <c r="AU248" s="158">
        <f t="shared" si="57"/>
        <v>6580</v>
      </c>
      <c r="AV248" s="158">
        <f t="shared" si="58"/>
        <v>15.774385141866302</v>
      </c>
      <c r="AW248" s="37">
        <f t="shared" si="59"/>
        <v>11175.790429358964</v>
      </c>
      <c r="AX248" s="31">
        <f t="shared" si="60"/>
        <v>112.32399423097453</v>
      </c>
      <c r="AY248" s="42">
        <f t="shared" si="61"/>
        <v>12075.761537459046</v>
      </c>
      <c r="AZ248" s="42">
        <f t="shared" si="65"/>
        <v>2101048.600719485</v>
      </c>
      <c r="BA248" s="42">
        <f t="shared" si="62"/>
        <v>11722.957071942172</v>
      </c>
      <c r="BB248" s="42">
        <f t="shared" si="63"/>
        <v>2765</v>
      </c>
      <c r="BC248" s="38">
        <f t="shared" si="66"/>
        <v>17.330000000000002</v>
      </c>
      <c r="BD248" s="38">
        <f t="shared" si="67"/>
        <v>32.392523364485982</v>
      </c>
      <c r="BE248" s="38">
        <f t="shared" si="68"/>
        <v>9.9510000000000005</v>
      </c>
      <c r="BH248" s="148">
        <v>34.700000000000003</v>
      </c>
      <c r="BI248" s="148">
        <v>2.99</v>
      </c>
    </row>
    <row r="249" spans="14:61">
      <c r="N249" s="30" t="s">
        <v>457</v>
      </c>
      <c r="O249" s="40">
        <v>25.3</v>
      </c>
      <c r="P249" s="128">
        <v>18.399999999999999</v>
      </c>
      <c r="Q249" s="128">
        <v>0.48</v>
      </c>
      <c r="R249" s="128">
        <v>11.1</v>
      </c>
      <c r="S249" s="128">
        <v>0.77</v>
      </c>
      <c r="T249" s="40">
        <v>1.17</v>
      </c>
      <c r="U249" s="132">
        <v>1.0625</v>
      </c>
      <c r="V249" s="40">
        <v>7.2</v>
      </c>
      <c r="W249" s="84" t="s">
        <v>127</v>
      </c>
      <c r="X249" s="35">
        <f t="shared" si="52"/>
        <v>35.125</v>
      </c>
      <c r="Y249" s="36">
        <f t="shared" si="53"/>
        <v>3.0484293803116036</v>
      </c>
      <c r="Z249" s="34">
        <v>2.15</v>
      </c>
      <c r="AA249" s="40">
        <v>1530</v>
      </c>
      <c r="AB249" s="128">
        <v>166</v>
      </c>
      <c r="AC249" s="40">
        <v>7.77</v>
      </c>
      <c r="AD249" s="40">
        <v>175</v>
      </c>
      <c r="AE249" s="128">
        <v>31.6</v>
      </c>
      <c r="AF249" s="40">
        <v>2.63</v>
      </c>
      <c r="AG249" s="41">
        <v>186</v>
      </c>
      <c r="AH249" s="40">
        <v>48.4</v>
      </c>
      <c r="AI249" s="41">
        <v>4.0999999999999996</v>
      </c>
      <c r="AJ249" s="40">
        <v>13600</v>
      </c>
      <c r="AK249" s="40">
        <v>48.9</v>
      </c>
      <c r="AL249" s="40">
        <v>104</v>
      </c>
      <c r="AM249" s="40">
        <v>36</v>
      </c>
      <c r="AN249" s="40">
        <v>92.3</v>
      </c>
      <c r="AO249" s="130" t="s">
        <v>450</v>
      </c>
      <c r="AP249" s="39" t="s">
        <v>69</v>
      </c>
      <c r="AQ249" s="40">
        <f t="shared" si="54"/>
        <v>111.47626597262756</v>
      </c>
      <c r="AR249" s="41">
        <f t="shared" si="64"/>
        <v>17.63</v>
      </c>
      <c r="AS249" s="37">
        <f t="shared" si="55"/>
        <v>342.56849225056982</v>
      </c>
      <c r="AT249" s="42">
        <f t="shared" si="56"/>
        <v>9300</v>
      </c>
      <c r="AU249" s="31">
        <f t="shared" si="57"/>
        <v>5810</v>
      </c>
      <c r="AV249" s="31">
        <f t="shared" si="58"/>
        <v>15.102195587498741</v>
      </c>
      <c r="AW249" s="37">
        <f t="shared" si="59"/>
        <v>10953.952917791999</v>
      </c>
      <c r="AX249" s="31">
        <f t="shared" si="60"/>
        <v>111.47626597262756</v>
      </c>
      <c r="AY249" s="42">
        <f t="shared" si="61"/>
        <v>10747.942120917671</v>
      </c>
      <c r="AZ249" s="42">
        <f t="shared" si="65"/>
        <v>1818356.184353472</v>
      </c>
      <c r="BA249" s="42">
        <f t="shared" si="62"/>
        <v>10331.138584654453</v>
      </c>
      <c r="BB249" s="42">
        <f t="shared" si="63"/>
        <v>2420</v>
      </c>
      <c r="BC249" s="38">
        <f t="shared" si="66"/>
        <v>17.229999999999997</v>
      </c>
      <c r="BD249" s="38">
        <f t="shared" si="67"/>
        <v>35.895833333333329</v>
      </c>
      <c r="BE249" s="38">
        <f t="shared" si="68"/>
        <v>8.831999999999999</v>
      </c>
      <c r="BH249" s="34">
        <v>38.299999999999997</v>
      </c>
      <c r="BI249" s="43">
        <v>2.97</v>
      </c>
    </row>
    <row r="250" spans="14:61">
      <c r="N250" s="30" t="s">
        <v>458</v>
      </c>
      <c r="O250" s="40">
        <v>22.3</v>
      </c>
      <c r="P250" s="128">
        <v>18.2</v>
      </c>
      <c r="Q250" s="128">
        <v>0.42499999999999999</v>
      </c>
      <c r="R250" s="128">
        <v>11</v>
      </c>
      <c r="S250" s="128">
        <v>0.68</v>
      </c>
      <c r="T250" s="40">
        <v>1.08</v>
      </c>
      <c r="U250" s="132">
        <v>1.0625</v>
      </c>
      <c r="V250" s="40">
        <v>8.11</v>
      </c>
      <c r="W250" s="34">
        <v>64.2</v>
      </c>
      <c r="X250" s="35">
        <f t="shared" si="52"/>
        <v>39.623529411764707</v>
      </c>
      <c r="Y250" s="36">
        <f t="shared" si="53"/>
        <v>3.0199337741082997</v>
      </c>
      <c r="Z250" s="34">
        <v>2.4300000000000002</v>
      </c>
      <c r="AA250" s="40">
        <v>1330</v>
      </c>
      <c r="AB250" s="128">
        <v>146</v>
      </c>
      <c r="AC250" s="40">
        <v>7.73</v>
      </c>
      <c r="AD250" s="40">
        <v>152</v>
      </c>
      <c r="AE250" s="128">
        <v>27.6</v>
      </c>
      <c r="AF250" s="40">
        <v>2.61</v>
      </c>
      <c r="AG250" s="41">
        <v>163</v>
      </c>
      <c r="AH250" s="40">
        <v>42.2</v>
      </c>
      <c r="AI250" s="41">
        <v>2.83</v>
      </c>
      <c r="AJ250" s="40">
        <v>11700</v>
      </c>
      <c r="AK250" s="40">
        <v>48.4</v>
      </c>
      <c r="AL250" s="40">
        <v>90.7</v>
      </c>
      <c r="AM250" s="40">
        <v>31.6</v>
      </c>
      <c r="AN250" s="40">
        <v>80.900000000000006</v>
      </c>
      <c r="AO250" s="130" t="s">
        <v>450</v>
      </c>
      <c r="AP250" s="39" t="s">
        <v>69</v>
      </c>
      <c r="AQ250" s="40">
        <f t="shared" si="54"/>
        <v>110.62853771428057</v>
      </c>
      <c r="AR250" s="41">
        <f t="shared" si="64"/>
        <v>17.52</v>
      </c>
      <c r="AS250" s="37">
        <f t="shared" si="55"/>
        <v>324.89393540827422</v>
      </c>
      <c r="AT250" s="42">
        <f t="shared" si="56"/>
        <v>8150</v>
      </c>
      <c r="AU250" s="31">
        <f t="shared" si="57"/>
        <v>5110</v>
      </c>
      <c r="AV250" s="31">
        <f t="shared" si="58"/>
        <v>14.188011842871717</v>
      </c>
      <c r="AW250" s="37">
        <f t="shared" si="59"/>
        <v>10747.127074632326</v>
      </c>
      <c r="AX250" s="31">
        <f t="shared" si="60"/>
        <v>110.62853771428057</v>
      </c>
      <c r="AY250" s="42">
        <f t="shared" si="61"/>
        <v>9498.2660185009936</v>
      </c>
      <c r="AZ250" s="42">
        <f t="shared" si="65"/>
        <v>1569080.5528963197</v>
      </c>
      <c r="BA250" s="42">
        <f t="shared" si="62"/>
        <v>9048.1837528222168</v>
      </c>
      <c r="BB250" s="42">
        <f t="shared" si="63"/>
        <v>2110</v>
      </c>
      <c r="BC250" s="38">
        <f t="shared" si="66"/>
        <v>17.119999999999997</v>
      </c>
      <c r="BD250" s="38">
        <f t="shared" si="67"/>
        <v>40.282352941176462</v>
      </c>
      <c r="BE250" s="38">
        <f t="shared" si="68"/>
        <v>7.7349999999999994</v>
      </c>
      <c r="BH250" s="34">
        <v>42.8</v>
      </c>
      <c r="BI250" s="43">
        <v>2.95</v>
      </c>
    </row>
    <row r="251" spans="14:61">
      <c r="N251" s="30" t="s">
        <v>459</v>
      </c>
      <c r="O251" s="40">
        <v>20.8</v>
      </c>
      <c r="P251" s="128">
        <v>18.5</v>
      </c>
      <c r="Q251" s="128">
        <v>0.495</v>
      </c>
      <c r="R251" s="128">
        <v>7.64</v>
      </c>
      <c r="S251" s="128">
        <v>0.81</v>
      </c>
      <c r="T251" s="40">
        <v>1.21</v>
      </c>
      <c r="U251" s="129">
        <v>0.875</v>
      </c>
      <c r="V251" s="40">
        <v>4.71</v>
      </c>
      <c r="W251" s="84" t="s">
        <v>127</v>
      </c>
      <c r="X251" s="35">
        <f t="shared" si="52"/>
        <v>34.101010101010097</v>
      </c>
      <c r="Y251" s="36">
        <f t="shared" si="53"/>
        <v>2.0493008218091644</v>
      </c>
      <c r="Z251" s="34">
        <v>2.99</v>
      </c>
      <c r="AA251" s="40">
        <v>1170</v>
      </c>
      <c r="AB251" s="128">
        <v>127</v>
      </c>
      <c r="AC251" s="40">
        <v>7.5</v>
      </c>
      <c r="AD251" s="40">
        <v>60.3</v>
      </c>
      <c r="AE251" s="128">
        <v>15.8</v>
      </c>
      <c r="AF251" s="40">
        <v>1.7</v>
      </c>
      <c r="AG251" s="41">
        <v>146</v>
      </c>
      <c r="AH251" s="40">
        <v>24.7</v>
      </c>
      <c r="AI251" s="41">
        <v>3.49</v>
      </c>
      <c r="AJ251" s="40">
        <v>4700</v>
      </c>
      <c r="AK251" s="40">
        <v>33.700000000000003</v>
      </c>
      <c r="AL251" s="40">
        <v>52.1</v>
      </c>
      <c r="AM251" s="40">
        <v>25.5</v>
      </c>
      <c r="AN251" s="40">
        <v>72.2</v>
      </c>
      <c r="AO251" s="146" t="s">
        <v>443</v>
      </c>
      <c r="AP251" s="39" t="s">
        <v>204</v>
      </c>
      <c r="AQ251" s="40">
        <f t="shared" si="54"/>
        <v>72.056901959493104</v>
      </c>
      <c r="AR251" s="41">
        <f t="shared" si="64"/>
        <v>17.690000000000001</v>
      </c>
      <c r="AS251" s="37">
        <f t="shared" si="55"/>
        <v>235.40937738846017</v>
      </c>
      <c r="AT251" s="42">
        <f t="shared" si="56"/>
        <v>7300</v>
      </c>
      <c r="AU251" s="31">
        <f t="shared" si="57"/>
        <v>4445</v>
      </c>
      <c r="AV251" s="31">
        <f t="shared" si="58"/>
        <v>17.477543529736597</v>
      </c>
      <c r="AW251" s="37">
        <f t="shared" si="59"/>
        <v>4960.5390176064793</v>
      </c>
      <c r="AX251" s="31">
        <f t="shared" si="60"/>
        <v>72.056901959493104</v>
      </c>
      <c r="AY251" s="42">
        <f t="shared" si="61"/>
        <v>8286.7279615511125</v>
      </c>
      <c r="AZ251" s="42">
        <f t="shared" si="65"/>
        <v>629988.45523602283</v>
      </c>
      <c r="BA251" s="42">
        <f t="shared" si="62"/>
        <v>8143.5245441800753</v>
      </c>
      <c r="BB251" s="42">
        <f t="shared" si="63"/>
        <v>1235</v>
      </c>
      <c r="BC251" s="38">
        <f t="shared" si="66"/>
        <v>17.29</v>
      </c>
      <c r="BD251" s="38">
        <f t="shared" si="67"/>
        <v>34.929292929292927</v>
      </c>
      <c r="BE251" s="38">
        <f t="shared" si="68"/>
        <v>9.1575000000000006</v>
      </c>
      <c r="BH251" s="34">
        <v>37.299999999999997</v>
      </c>
      <c r="BI251" s="43">
        <v>1.98</v>
      </c>
    </row>
    <row r="252" spans="14:61">
      <c r="N252" s="30" t="s">
        <v>460</v>
      </c>
      <c r="O252" s="40">
        <v>19.100000000000001</v>
      </c>
      <c r="P252" s="128">
        <v>18.399999999999999</v>
      </c>
      <c r="Q252" s="128">
        <v>0.45</v>
      </c>
      <c r="R252" s="128">
        <v>7.59</v>
      </c>
      <c r="S252" s="128">
        <v>0.75</v>
      </c>
      <c r="T252" s="40">
        <v>1.1499999999999999</v>
      </c>
      <c r="U252" s="132">
        <v>0.875</v>
      </c>
      <c r="V252" s="40">
        <v>5.0599999999999996</v>
      </c>
      <c r="W252" s="84" t="s">
        <v>127</v>
      </c>
      <c r="X252" s="35">
        <f t="shared" si="52"/>
        <v>37.55555555555555</v>
      </c>
      <c r="Y252" s="36">
        <f t="shared" si="53"/>
        <v>2.0330811108804299</v>
      </c>
      <c r="Z252" s="34">
        <v>3.22</v>
      </c>
      <c r="AA252" s="40">
        <v>1070</v>
      </c>
      <c r="AB252" s="128">
        <v>117</v>
      </c>
      <c r="AC252" s="40">
        <v>7.49</v>
      </c>
      <c r="AD252" s="40">
        <v>54.8</v>
      </c>
      <c r="AE252" s="128">
        <v>14.4</v>
      </c>
      <c r="AF252" s="40">
        <v>1.69</v>
      </c>
      <c r="AG252" s="41">
        <v>133</v>
      </c>
      <c r="AH252" s="40">
        <v>22.5</v>
      </c>
      <c r="AI252" s="41">
        <v>2.73</v>
      </c>
      <c r="AJ252" s="40">
        <v>4240</v>
      </c>
      <c r="AK252" s="40">
        <v>33.4</v>
      </c>
      <c r="AL252" s="40">
        <v>47.5</v>
      </c>
      <c r="AM252" s="40">
        <v>23.6</v>
      </c>
      <c r="AN252" s="40">
        <v>66.099999999999994</v>
      </c>
      <c r="AO252" s="146" t="s">
        <v>443</v>
      </c>
      <c r="AP252" s="39" t="s">
        <v>204</v>
      </c>
      <c r="AQ252" s="40">
        <f t="shared" si="54"/>
        <v>71.633037830319608</v>
      </c>
      <c r="AR252" s="41">
        <f t="shared" si="64"/>
        <v>17.649999999999999</v>
      </c>
      <c r="AS252" s="37">
        <f t="shared" si="55"/>
        <v>225.84683792392872</v>
      </c>
      <c r="AT252" s="42">
        <f t="shared" si="56"/>
        <v>6650</v>
      </c>
      <c r="AU252" s="31">
        <f t="shared" si="57"/>
        <v>4095</v>
      </c>
      <c r="AV252" s="31">
        <f t="shared" si="58"/>
        <v>16.567907660981657</v>
      </c>
      <c r="AW252" s="37">
        <f t="shared" si="59"/>
        <v>4880.0225380295269</v>
      </c>
      <c r="AX252" s="31">
        <f t="shared" si="60"/>
        <v>71.633037830319608</v>
      </c>
      <c r="AY252" s="42">
        <f t="shared" si="61"/>
        <v>7578.3501967370275</v>
      </c>
      <c r="AZ252" s="42">
        <f t="shared" si="65"/>
        <v>570962.63694945467</v>
      </c>
      <c r="BA252" s="42">
        <f t="shared" si="62"/>
        <v>7404.8879896252511</v>
      </c>
      <c r="BB252" s="42">
        <f t="shared" si="63"/>
        <v>1125</v>
      </c>
      <c r="BC252" s="38">
        <f t="shared" si="66"/>
        <v>17.25</v>
      </c>
      <c r="BD252" s="38">
        <f t="shared" si="67"/>
        <v>38.333333333333336</v>
      </c>
      <c r="BE252" s="38">
        <f t="shared" si="68"/>
        <v>8.2799999999999994</v>
      </c>
      <c r="BH252" s="34">
        <v>40.799999999999997</v>
      </c>
      <c r="BI252" s="43">
        <v>1.97</v>
      </c>
    </row>
    <row r="253" spans="14:61">
      <c r="N253" s="30" t="s">
        <v>461</v>
      </c>
      <c r="O253" s="40">
        <v>17.600000000000001</v>
      </c>
      <c r="P253" s="128">
        <v>18.2</v>
      </c>
      <c r="Q253" s="128">
        <v>0.41499999999999998</v>
      </c>
      <c r="R253" s="128">
        <v>7.56</v>
      </c>
      <c r="S253" s="128">
        <v>0.69499999999999995</v>
      </c>
      <c r="T253" s="40">
        <v>1.1000000000000001</v>
      </c>
      <c r="U253" s="132">
        <v>0.8125</v>
      </c>
      <c r="V253" s="40">
        <v>5.44</v>
      </c>
      <c r="W253" s="84" t="s">
        <v>127</v>
      </c>
      <c r="X253" s="35">
        <f t="shared" si="52"/>
        <v>40.506024096385538</v>
      </c>
      <c r="Y253" s="36">
        <f t="shared" si="53"/>
        <v>2.014990694767596</v>
      </c>
      <c r="Z253" s="34">
        <v>3.47</v>
      </c>
      <c r="AA253" s="40">
        <v>984</v>
      </c>
      <c r="AB253" s="128">
        <v>108</v>
      </c>
      <c r="AC253" s="40">
        <v>7.47</v>
      </c>
      <c r="AD253" s="40">
        <v>50.1</v>
      </c>
      <c r="AE253" s="128">
        <v>13.3</v>
      </c>
      <c r="AF253" s="40">
        <v>1.68</v>
      </c>
      <c r="AG253" s="41">
        <v>123</v>
      </c>
      <c r="AH253" s="40">
        <v>20.6</v>
      </c>
      <c r="AI253" s="41">
        <v>2.17</v>
      </c>
      <c r="AJ253" s="40">
        <v>3860</v>
      </c>
      <c r="AK253" s="40">
        <v>33.1</v>
      </c>
      <c r="AL253" s="40">
        <v>43.5</v>
      </c>
      <c r="AM253" s="40">
        <v>21.8</v>
      </c>
      <c r="AN253" s="40">
        <v>60.8</v>
      </c>
      <c r="AO253" s="146" t="s">
        <v>443</v>
      </c>
      <c r="AP253" s="39" t="s">
        <v>204</v>
      </c>
      <c r="AQ253" s="40">
        <f t="shared" si="54"/>
        <v>71.209173701146113</v>
      </c>
      <c r="AR253" s="41">
        <f t="shared" si="64"/>
        <v>17.504999999999999</v>
      </c>
      <c r="AS253" s="37">
        <f t="shared" si="55"/>
        <v>218.13075373329849</v>
      </c>
      <c r="AT253" s="42">
        <f t="shared" si="56"/>
        <v>6150</v>
      </c>
      <c r="AU253" s="31">
        <f t="shared" si="57"/>
        <v>3780</v>
      </c>
      <c r="AV253" s="31">
        <f t="shared" si="58"/>
        <v>16.131054399778087</v>
      </c>
      <c r="AW253" s="37">
        <f t="shared" si="59"/>
        <v>4791.8843215105817</v>
      </c>
      <c r="AX253" s="31">
        <f t="shared" si="60"/>
        <v>71.209173701146113</v>
      </c>
      <c r="AY253" s="42">
        <f t="shared" si="61"/>
        <v>7047.0346060998972</v>
      </c>
      <c r="AZ253" s="42">
        <f t="shared" si="65"/>
        <v>517523.50672314281</v>
      </c>
      <c r="BA253" s="42">
        <f t="shared" si="62"/>
        <v>6850.2287809831096</v>
      </c>
      <c r="BB253" s="42">
        <f t="shared" si="63"/>
        <v>1030</v>
      </c>
      <c r="BC253" s="38">
        <f t="shared" si="66"/>
        <v>17.099999999999998</v>
      </c>
      <c r="BD253" s="38">
        <f t="shared" si="67"/>
        <v>41.204819277108427</v>
      </c>
      <c r="BE253" s="38">
        <f t="shared" si="68"/>
        <v>7.552999999999999</v>
      </c>
      <c r="BH253" s="34">
        <v>44</v>
      </c>
      <c r="BI253" s="43">
        <v>1.96</v>
      </c>
    </row>
    <row r="254" spans="14:61">
      <c r="N254" s="30" t="s">
        <v>462</v>
      </c>
      <c r="O254" s="40">
        <v>16.2</v>
      </c>
      <c r="P254" s="128">
        <v>18.100000000000001</v>
      </c>
      <c r="Q254" s="128">
        <v>0.39</v>
      </c>
      <c r="R254" s="128">
        <v>7.53</v>
      </c>
      <c r="S254" s="128">
        <v>0.63</v>
      </c>
      <c r="T254" s="40">
        <v>1.03</v>
      </c>
      <c r="U254" s="132">
        <v>0.8125</v>
      </c>
      <c r="V254" s="40">
        <v>5.98</v>
      </c>
      <c r="W254" s="84" t="s">
        <v>127</v>
      </c>
      <c r="X254" s="35">
        <f t="shared" si="52"/>
        <v>43.179487179487175</v>
      </c>
      <c r="Y254" s="36">
        <f t="shared" si="53"/>
        <v>1.997458965643679</v>
      </c>
      <c r="Z254" s="34">
        <v>3.82</v>
      </c>
      <c r="AA254" s="40">
        <v>890</v>
      </c>
      <c r="AB254" s="128">
        <v>98.3</v>
      </c>
      <c r="AC254" s="40">
        <v>7.41</v>
      </c>
      <c r="AD254" s="40">
        <v>44.9</v>
      </c>
      <c r="AE254" s="128">
        <v>11.9</v>
      </c>
      <c r="AF254" s="40">
        <v>1.67</v>
      </c>
      <c r="AG254" s="41">
        <v>112</v>
      </c>
      <c r="AH254" s="40">
        <v>18.5</v>
      </c>
      <c r="AI254" s="41">
        <v>1.66</v>
      </c>
      <c r="AJ254" s="40">
        <v>3430</v>
      </c>
      <c r="AK254" s="40">
        <v>32.9</v>
      </c>
      <c r="AL254" s="40">
        <v>39</v>
      </c>
      <c r="AM254" s="40">
        <v>19.7</v>
      </c>
      <c r="AN254" s="40">
        <v>55.3</v>
      </c>
      <c r="AO254" s="146" t="s">
        <v>443</v>
      </c>
      <c r="AP254" s="39" t="s">
        <v>204</v>
      </c>
      <c r="AQ254" s="40">
        <f t="shared" si="54"/>
        <v>70.785309571972633</v>
      </c>
      <c r="AR254" s="41">
        <f t="shared" si="64"/>
        <v>17.470000000000002</v>
      </c>
      <c r="AS254" s="37">
        <f t="shared" si="55"/>
        <v>210.3975744088205</v>
      </c>
      <c r="AT254" s="42">
        <f t="shared" si="56"/>
        <v>5600</v>
      </c>
      <c r="AU254" s="31">
        <f t="shared" si="57"/>
        <v>3440.5</v>
      </c>
      <c r="AV254" s="31">
        <f t="shared" si="58"/>
        <v>15.467838749866358</v>
      </c>
      <c r="AW254" s="37">
        <f t="shared" si="59"/>
        <v>4707.0645583789365</v>
      </c>
      <c r="AX254" s="31">
        <f t="shared" si="60"/>
        <v>70.785309571972633</v>
      </c>
      <c r="AY254" s="42">
        <f t="shared" si="61"/>
        <v>6453.5974698207292</v>
      </c>
      <c r="AZ254" s="42">
        <f t="shared" si="65"/>
        <v>462704.44608864945</v>
      </c>
      <c r="BA254" s="42">
        <f t="shared" si="62"/>
        <v>6238.0354652038077</v>
      </c>
      <c r="BB254" s="42">
        <f t="shared" si="63"/>
        <v>925</v>
      </c>
      <c r="BC254" s="38">
        <f t="shared" si="66"/>
        <v>17.07</v>
      </c>
      <c r="BD254" s="38">
        <f t="shared" si="67"/>
        <v>43.769230769230766</v>
      </c>
      <c r="BE254" s="38">
        <f t="shared" si="68"/>
        <v>7.0590000000000011</v>
      </c>
      <c r="BH254" s="34">
        <v>46.4</v>
      </c>
      <c r="BI254" s="43">
        <v>1.95</v>
      </c>
    </row>
    <row r="255" spans="14:61">
      <c r="N255" s="30" t="s">
        <v>463</v>
      </c>
      <c r="O255" s="40">
        <v>14.7</v>
      </c>
      <c r="P255" s="128">
        <v>18</v>
      </c>
      <c r="Q255" s="128">
        <v>0.35499999999999998</v>
      </c>
      <c r="R255" s="128">
        <v>7.5</v>
      </c>
      <c r="S255" s="128">
        <v>0.56999999999999995</v>
      </c>
      <c r="T255" s="40">
        <v>0.97199999999999998</v>
      </c>
      <c r="U255" s="132">
        <v>0.8125</v>
      </c>
      <c r="V255" s="40">
        <v>6.57</v>
      </c>
      <c r="W255" s="84" t="s">
        <v>127</v>
      </c>
      <c r="X255" s="35">
        <f t="shared" si="52"/>
        <v>47.492957746478872</v>
      </c>
      <c r="Y255" s="36">
        <f t="shared" si="53"/>
        <v>1.9826908463313144</v>
      </c>
      <c r="Z255" s="34">
        <v>4.21</v>
      </c>
      <c r="AA255" s="40">
        <v>800</v>
      </c>
      <c r="AB255" s="128">
        <v>88.9</v>
      </c>
      <c r="AC255" s="40">
        <v>7.38</v>
      </c>
      <c r="AD255" s="40">
        <v>40.1</v>
      </c>
      <c r="AE255" s="128">
        <v>10.7</v>
      </c>
      <c r="AF255" s="40">
        <v>1.65</v>
      </c>
      <c r="AG255" s="41">
        <v>101</v>
      </c>
      <c r="AH255" s="40">
        <v>16.600000000000001</v>
      </c>
      <c r="AI255" s="41">
        <v>1.24</v>
      </c>
      <c r="AJ255" s="40">
        <v>3040</v>
      </c>
      <c r="AK255" s="40">
        <v>32.6</v>
      </c>
      <c r="AL255" s="40">
        <v>34.9</v>
      </c>
      <c r="AM255" s="40">
        <v>17.7</v>
      </c>
      <c r="AN255" s="40">
        <v>49.8</v>
      </c>
      <c r="AO255" s="146" t="s">
        <v>443</v>
      </c>
      <c r="AP255" s="39" t="s">
        <v>204</v>
      </c>
      <c r="AQ255" s="40">
        <f t="shared" si="54"/>
        <v>69.937581313625657</v>
      </c>
      <c r="AR255" s="41">
        <f t="shared" si="64"/>
        <v>17.43</v>
      </c>
      <c r="AS255" s="37">
        <f t="shared" si="55"/>
        <v>203.5801512629773</v>
      </c>
      <c r="AT255" s="42">
        <f t="shared" si="56"/>
        <v>5050</v>
      </c>
      <c r="AU255" s="31">
        <f t="shared" si="57"/>
        <v>3111.5</v>
      </c>
      <c r="AV255" s="31">
        <f t="shared" si="58"/>
        <v>14.505108669600263</v>
      </c>
      <c r="AW255" s="37">
        <f t="shared" si="59"/>
        <v>4636.0227979497486</v>
      </c>
      <c r="AX255" s="31">
        <f t="shared" si="60"/>
        <v>69.937581313625657</v>
      </c>
      <c r="AY255" s="42">
        <f t="shared" si="61"/>
        <v>5838.1725217973808</v>
      </c>
      <c r="AZ255" s="42">
        <f t="shared" si="65"/>
        <v>412142.42673773266</v>
      </c>
      <c r="BA255" s="42">
        <f t="shared" si="62"/>
        <v>5622.7398700150879</v>
      </c>
      <c r="BB255" s="42">
        <f t="shared" si="63"/>
        <v>830.00000000000011</v>
      </c>
      <c r="BC255" s="38">
        <f t="shared" si="66"/>
        <v>17.027999999999999</v>
      </c>
      <c r="BD255" s="38">
        <f t="shared" si="67"/>
        <v>47.966197183098593</v>
      </c>
      <c r="BE255" s="38">
        <f t="shared" si="68"/>
        <v>6.39</v>
      </c>
      <c r="BH255" s="34">
        <v>50.7</v>
      </c>
      <c r="BI255" s="43">
        <v>1.94</v>
      </c>
    </row>
    <row r="256" spans="14:61">
      <c r="N256" s="30" t="s">
        <v>464</v>
      </c>
      <c r="O256" s="40">
        <v>13.5</v>
      </c>
      <c r="P256" s="128">
        <v>18.100000000000001</v>
      </c>
      <c r="Q256" s="128">
        <v>0.36</v>
      </c>
      <c r="R256" s="128">
        <v>6.06</v>
      </c>
      <c r="S256" s="128">
        <v>0.60499999999999998</v>
      </c>
      <c r="T256" s="40">
        <v>1.01</v>
      </c>
      <c r="U256" s="132">
        <v>0.8125</v>
      </c>
      <c r="V256" s="40">
        <v>5.01</v>
      </c>
      <c r="W256" s="84" t="s">
        <v>127</v>
      </c>
      <c r="X256" s="35">
        <f t="shared" si="52"/>
        <v>46.916666666666671</v>
      </c>
      <c r="Y256" s="36">
        <f t="shared" si="53"/>
        <v>1.5804112987119672</v>
      </c>
      <c r="Z256" s="34">
        <v>4.93</v>
      </c>
      <c r="AA256" s="40">
        <v>712</v>
      </c>
      <c r="AB256" s="128">
        <v>78.8</v>
      </c>
      <c r="AC256" s="40">
        <v>7.25</v>
      </c>
      <c r="AD256" s="40">
        <v>22.5</v>
      </c>
      <c r="AE256" s="128">
        <v>7.43</v>
      </c>
      <c r="AF256" s="40">
        <v>1.29</v>
      </c>
      <c r="AG256" s="41">
        <v>90.7</v>
      </c>
      <c r="AH256" s="40">
        <v>11.7</v>
      </c>
      <c r="AI256" s="41">
        <v>1.22</v>
      </c>
      <c r="AJ256" s="40">
        <v>1710</v>
      </c>
      <c r="AK256" s="40">
        <v>26.4</v>
      </c>
      <c r="AL256" s="40">
        <v>24.2</v>
      </c>
      <c r="AM256" s="40">
        <v>15</v>
      </c>
      <c r="AN256" s="40">
        <v>44.8</v>
      </c>
      <c r="AO256" s="146" t="s">
        <v>443</v>
      </c>
      <c r="AP256" s="39" t="s">
        <v>204</v>
      </c>
      <c r="AQ256" s="40">
        <f t="shared" si="54"/>
        <v>54.678472663380056</v>
      </c>
      <c r="AR256" s="41">
        <f t="shared" si="64"/>
        <v>17.495000000000001</v>
      </c>
      <c r="AS256" s="37">
        <f t="shared" si="55"/>
        <v>164.40375041538385</v>
      </c>
      <c r="AT256" s="42">
        <f t="shared" si="56"/>
        <v>4535</v>
      </c>
      <c r="AU256" s="31">
        <f t="shared" si="57"/>
        <v>2758</v>
      </c>
      <c r="AV256" s="31">
        <f t="shared" si="58"/>
        <v>16.194992042000536</v>
      </c>
      <c r="AW256" s="37">
        <f t="shared" si="59"/>
        <v>2949.8087851417781</v>
      </c>
      <c r="AX256" s="31">
        <f t="shared" si="60"/>
        <v>54.678472663380056</v>
      </c>
      <c r="AY256" s="42">
        <f t="shared" si="61"/>
        <v>5167.8755537969755</v>
      </c>
      <c r="AZ256" s="42">
        <f t="shared" si="65"/>
        <v>232444.9322691721</v>
      </c>
      <c r="BA256" s="42">
        <f t="shared" si="62"/>
        <v>5060.0238581464073</v>
      </c>
      <c r="BB256" s="42">
        <f t="shared" si="63"/>
        <v>585</v>
      </c>
      <c r="BC256" s="38">
        <f t="shared" si="66"/>
        <v>17.09</v>
      </c>
      <c r="BD256" s="38">
        <f t="shared" si="67"/>
        <v>47.472222222222221</v>
      </c>
      <c r="BE256" s="38">
        <f t="shared" si="68"/>
        <v>6.516</v>
      </c>
      <c r="BH256" s="34">
        <v>50.2</v>
      </c>
      <c r="BI256" s="43">
        <v>1.54</v>
      </c>
    </row>
    <row r="257" spans="14:61">
      <c r="N257" s="30" t="s">
        <v>465</v>
      </c>
      <c r="O257" s="40">
        <v>11.8</v>
      </c>
      <c r="P257" s="128">
        <v>17.899999999999999</v>
      </c>
      <c r="Q257" s="128">
        <v>0.315</v>
      </c>
      <c r="R257" s="128">
        <v>6.02</v>
      </c>
      <c r="S257" s="128">
        <v>0.52500000000000002</v>
      </c>
      <c r="T257" s="40">
        <v>0.92700000000000005</v>
      </c>
      <c r="U257" s="132">
        <v>0.8125</v>
      </c>
      <c r="V257" s="40">
        <v>5.73</v>
      </c>
      <c r="W257" s="84" t="s">
        <v>127</v>
      </c>
      <c r="X257" s="35">
        <f t="shared" si="52"/>
        <v>53.492063492063487</v>
      </c>
      <c r="Y257" s="36">
        <f t="shared" si="53"/>
        <v>1.5575286410966114</v>
      </c>
      <c r="Z257" s="34">
        <v>5.67</v>
      </c>
      <c r="AA257" s="40">
        <v>612</v>
      </c>
      <c r="AB257" s="128">
        <v>68.400000000000006</v>
      </c>
      <c r="AC257" s="40">
        <v>7.21</v>
      </c>
      <c r="AD257" s="40">
        <v>19.100000000000001</v>
      </c>
      <c r="AE257" s="128">
        <v>6.35</v>
      </c>
      <c r="AF257" s="40">
        <v>1.27</v>
      </c>
      <c r="AG257" s="41">
        <v>78.400000000000006</v>
      </c>
      <c r="AH257" s="40">
        <v>9.9499999999999993</v>
      </c>
      <c r="AI257" s="41">
        <v>0.81</v>
      </c>
      <c r="AJ257" s="40">
        <v>1440</v>
      </c>
      <c r="AK257" s="40">
        <v>26.1</v>
      </c>
      <c r="AL257" s="40">
        <v>20.6</v>
      </c>
      <c r="AM257" s="40">
        <v>13</v>
      </c>
      <c r="AN257" s="40">
        <v>38.6</v>
      </c>
      <c r="AO257" s="146" t="s">
        <v>443</v>
      </c>
      <c r="AP257" s="39" t="s">
        <v>204</v>
      </c>
      <c r="AQ257" s="40">
        <f t="shared" si="54"/>
        <v>53.830744405033073</v>
      </c>
      <c r="AR257" s="41">
        <f t="shared" si="64"/>
        <v>17.375</v>
      </c>
      <c r="AS257" s="37">
        <f t="shared" si="55"/>
        <v>157.00865761408491</v>
      </c>
      <c r="AT257" s="42">
        <f t="shared" si="56"/>
        <v>3920.0000000000005</v>
      </c>
      <c r="AU257" s="31">
        <f t="shared" si="57"/>
        <v>2394</v>
      </c>
      <c r="AV257" s="31">
        <f t="shared" si="58"/>
        <v>14.789987047985033</v>
      </c>
      <c r="AW257" s="37">
        <f t="shared" si="59"/>
        <v>2863.0250404835556</v>
      </c>
      <c r="AX257" s="31">
        <f t="shared" si="60"/>
        <v>53.830744405033073</v>
      </c>
      <c r="AY257" s="42">
        <f t="shared" si="61"/>
        <v>4485.4322145852657</v>
      </c>
      <c r="AZ257" s="42">
        <f t="shared" si="65"/>
        <v>195830.91276907522</v>
      </c>
      <c r="BA257" s="42">
        <f t="shared" si="62"/>
        <v>4370.8646075022052</v>
      </c>
      <c r="BB257" s="42">
        <f t="shared" si="63"/>
        <v>497.49999999999994</v>
      </c>
      <c r="BC257" s="38">
        <f t="shared" si="66"/>
        <v>16.972999999999999</v>
      </c>
      <c r="BD257" s="38">
        <f t="shared" si="67"/>
        <v>53.882539682539679</v>
      </c>
      <c r="BE257" s="38">
        <f t="shared" si="68"/>
        <v>5.6384999999999996</v>
      </c>
      <c r="BH257" s="34">
        <v>56.8</v>
      </c>
      <c r="BI257" s="43">
        <v>1.52</v>
      </c>
    </row>
    <row r="258" spans="14:61">
      <c r="N258" s="30" t="s">
        <v>466</v>
      </c>
      <c r="O258" s="40">
        <v>10.3</v>
      </c>
      <c r="P258" s="128">
        <v>17.7</v>
      </c>
      <c r="Q258" s="128">
        <v>0.3</v>
      </c>
      <c r="R258" s="128">
        <v>6</v>
      </c>
      <c r="S258" s="128">
        <v>0.42499999999999999</v>
      </c>
      <c r="T258" s="40">
        <v>0.82699999999999996</v>
      </c>
      <c r="U258" s="132">
        <v>0.75</v>
      </c>
      <c r="V258" s="40">
        <v>7.06</v>
      </c>
      <c r="W258" s="84" t="s">
        <v>127</v>
      </c>
      <c r="X258" s="35">
        <f t="shared" ref="X258:X321" si="69">(P258-(2*S258))/Q258</f>
        <v>56.166666666666664</v>
      </c>
      <c r="Y258" s="36">
        <f t="shared" ref="Y258:Y321" si="70">((AD258*AR258)/(2*AB258))^0.5</f>
        <v>1.5147065516132159</v>
      </c>
      <c r="Z258" s="34">
        <v>6.94</v>
      </c>
      <c r="AA258" s="40">
        <v>510</v>
      </c>
      <c r="AB258" s="128">
        <v>57.6</v>
      </c>
      <c r="AC258" s="40">
        <v>7.04</v>
      </c>
      <c r="AD258" s="40">
        <v>15.3</v>
      </c>
      <c r="AE258" s="128">
        <v>5.12</v>
      </c>
      <c r="AF258" s="40">
        <v>1.22</v>
      </c>
      <c r="AG258" s="41">
        <v>66.5</v>
      </c>
      <c r="AH258" s="40">
        <v>8.06</v>
      </c>
      <c r="AI258" s="41">
        <v>0.50600000000000001</v>
      </c>
      <c r="AJ258" s="40">
        <v>1140</v>
      </c>
      <c r="AK258" s="40">
        <v>25.9</v>
      </c>
      <c r="AL258" s="40">
        <v>16.5</v>
      </c>
      <c r="AM258" s="40">
        <v>10.5</v>
      </c>
      <c r="AN258" s="40">
        <v>32.700000000000003</v>
      </c>
      <c r="AO258" s="146" t="s">
        <v>443</v>
      </c>
      <c r="AP258" s="39" t="s">
        <v>204</v>
      </c>
      <c r="AQ258" s="40">
        <f t="shared" ref="AQ258:AQ321" si="71">1.76*AF258*($B$10/$B$11)^0.5</f>
        <v>51.711423759165626</v>
      </c>
      <c r="AR258" s="41">
        <f t="shared" si="64"/>
        <v>17.274999999999999</v>
      </c>
      <c r="AS258" s="37">
        <f t="shared" ref="AS258:AS321" si="72">((1.95*Y258*$B$10)/(0.7*$B$11))*(((AI258*1)/(AB258*AR258))^0.5)*(1+(1+(6.76*(((0.7*$B$11*AB258*AR258)/($B$10*AI258*1))^2)))^0.5)^0.5</f>
        <v>148.61158341156639</v>
      </c>
      <c r="AT258" s="42">
        <f t="shared" ref="AT258:AT321" si="73">$B$11*AG258</f>
        <v>3325</v>
      </c>
      <c r="AU258" s="31">
        <f t="shared" ref="AU258:AU321" si="74">0.7*$B$11*AB258</f>
        <v>2016</v>
      </c>
      <c r="AV258" s="31">
        <f t="shared" ref="AV258:AV321" si="75">(AT258-AU258)/(AS258-AQ258)</f>
        <v>13.508749672814071</v>
      </c>
      <c r="AW258" s="37">
        <f t="shared" ref="AW258:AW321" si="76">(($B$28*(3.142857143^2)*$B$10)/(($B$20*12)/Y258)^2)*((1+((0.078*AI258*(((12*$B$20)/Y258)^2))/(AB258*AR258)))^0.5)</f>
        <v>2706.2428334591273</v>
      </c>
      <c r="AX258" s="31">
        <f t="shared" ref="AX258:AX321" si="77">AQ258+((AT258*($B$28-1))/(AV258*$B$28))</f>
        <v>51.711423759165626</v>
      </c>
      <c r="AY258" s="42">
        <f t="shared" ref="AY258:AY321" si="78">$B$28*(AT258-(AV258*(($B$20*12)-AQ258)))</f>
        <v>3812.8201838914788</v>
      </c>
      <c r="AZ258" s="42">
        <f t="shared" si="65"/>
        <v>155879.58720724573</v>
      </c>
      <c r="BA258" s="42">
        <f t="shared" ref="BA258:BA321" si="79">AT258-((AT258-(0.7*$B$11*AB258))*($J$17))</f>
        <v>3711.7508330408818</v>
      </c>
      <c r="BB258" s="42">
        <f t="shared" ref="BB258:BB321" si="80">AH258*$B$11</f>
        <v>403</v>
      </c>
      <c r="BC258" s="38">
        <f t="shared" si="66"/>
        <v>16.872999999999998</v>
      </c>
      <c r="BD258" s="38">
        <f t="shared" si="67"/>
        <v>56.243333333333325</v>
      </c>
      <c r="BE258" s="38">
        <f t="shared" si="68"/>
        <v>5.31</v>
      </c>
      <c r="BH258" s="34">
        <v>59</v>
      </c>
      <c r="BI258" s="43">
        <v>1.49</v>
      </c>
    </row>
    <row r="259" spans="14:61">
      <c r="N259" s="30" t="s">
        <v>467</v>
      </c>
      <c r="O259" s="40">
        <v>29.7</v>
      </c>
      <c r="P259" s="128">
        <v>17</v>
      </c>
      <c r="Q259" s="128">
        <v>0.58499999999999996</v>
      </c>
      <c r="R259" s="128">
        <v>10.4</v>
      </c>
      <c r="S259" s="128">
        <v>0.98499999999999999</v>
      </c>
      <c r="T259" s="40">
        <v>1.69</v>
      </c>
      <c r="U259" s="132">
        <v>1.125</v>
      </c>
      <c r="V259" s="40">
        <v>5.29</v>
      </c>
      <c r="W259" s="84" t="s">
        <v>127</v>
      </c>
      <c r="X259" s="35">
        <f t="shared" si="69"/>
        <v>25.692307692307693</v>
      </c>
      <c r="Y259" s="36">
        <f t="shared" si="70"/>
        <v>2.9008035122960592</v>
      </c>
      <c r="Z259" s="34">
        <v>1.65</v>
      </c>
      <c r="AA259" s="40">
        <v>1500</v>
      </c>
      <c r="AB259" s="128">
        <v>177</v>
      </c>
      <c r="AC259" s="40">
        <v>7.1</v>
      </c>
      <c r="AD259" s="40">
        <v>186</v>
      </c>
      <c r="AE259" s="128">
        <v>35.700000000000003</v>
      </c>
      <c r="AF259" s="40">
        <v>2.5</v>
      </c>
      <c r="AG259" s="41">
        <v>200</v>
      </c>
      <c r="AH259" s="40">
        <v>55</v>
      </c>
      <c r="AI259" s="41">
        <v>8.2100000000000009</v>
      </c>
      <c r="AJ259" s="40">
        <v>11900</v>
      </c>
      <c r="AK259" s="40">
        <v>41.7</v>
      </c>
      <c r="AL259" s="40">
        <v>107</v>
      </c>
      <c r="AM259" s="40">
        <v>38.700000000000003</v>
      </c>
      <c r="AN259" s="40">
        <v>98.5</v>
      </c>
      <c r="AO259" s="130" t="s">
        <v>468</v>
      </c>
      <c r="AP259" s="39" t="s">
        <v>69</v>
      </c>
      <c r="AQ259" s="40">
        <f t="shared" si="71"/>
        <v>105.96603229337221</v>
      </c>
      <c r="AR259" s="41">
        <f t="shared" ref="AR259:AR322" si="81">(P259-S259)</f>
        <v>16.015000000000001</v>
      </c>
      <c r="AS259" s="37">
        <f t="shared" si="72"/>
        <v>396.76942980333104</v>
      </c>
      <c r="AT259" s="42">
        <f t="shared" si="73"/>
        <v>10000</v>
      </c>
      <c r="AU259" s="31">
        <f t="shared" si="74"/>
        <v>6195</v>
      </c>
      <c r="AV259" s="31">
        <f t="shared" si="75"/>
        <v>13.08444135309559</v>
      </c>
      <c r="AW259" s="37">
        <f t="shared" si="76"/>
        <v>9936.8523944077442</v>
      </c>
      <c r="AX259" s="31">
        <f t="shared" si="77"/>
        <v>105.96603229337221</v>
      </c>
      <c r="AY259" s="42">
        <f t="shared" si="78"/>
        <v>11182.38904985457</v>
      </c>
      <c r="AZ259" s="42">
        <f t="shared" ref="AZ259:AZ322" si="82">AW259*AB259</f>
        <v>1758822.8738101707</v>
      </c>
      <c r="BA259" s="42">
        <f t="shared" si="79"/>
        <v>11124.206966937018</v>
      </c>
      <c r="BB259" s="42">
        <f t="shared" si="80"/>
        <v>2750</v>
      </c>
      <c r="BC259" s="38">
        <f t="shared" ref="BC259:BC322" si="83">P259-T259</f>
        <v>15.31</v>
      </c>
      <c r="BD259" s="38">
        <f t="shared" ref="BD259:BD322" si="84">BC259/Q259</f>
        <v>26.170940170940174</v>
      </c>
      <c r="BE259" s="38">
        <f t="shared" ref="BE259:BE322" si="85">Q259*P259</f>
        <v>9.9450000000000003</v>
      </c>
      <c r="BH259" s="34">
        <v>29</v>
      </c>
      <c r="BI259" s="43">
        <v>2.81</v>
      </c>
    </row>
    <row r="260" spans="14:61">
      <c r="N260" s="30" t="s">
        <v>469</v>
      </c>
      <c r="O260" s="40">
        <v>26.4</v>
      </c>
      <c r="P260" s="128">
        <v>16.8</v>
      </c>
      <c r="Q260" s="128">
        <v>0.52500000000000002</v>
      </c>
      <c r="R260" s="128">
        <v>10.4</v>
      </c>
      <c r="S260" s="128">
        <v>0.875</v>
      </c>
      <c r="T260" s="40">
        <v>1.58</v>
      </c>
      <c r="U260" s="132">
        <v>1.0625</v>
      </c>
      <c r="V260" s="40">
        <v>5.92</v>
      </c>
      <c r="W260" s="84" t="s">
        <v>127</v>
      </c>
      <c r="X260" s="35">
        <f t="shared" si="69"/>
        <v>28.666666666666668</v>
      </c>
      <c r="Y260" s="36">
        <f t="shared" si="70"/>
        <v>2.8752042297995679</v>
      </c>
      <c r="Z260" s="34">
        <v>1.85</v>
      </c>
      <c r="AA260" s="40">
        <v>1310</v>
      </c>
      <c r="AB260" s="128">
        <v>157</v>
      </c>
      <c r="AC260" s="40">
        <v>7.05</v>
      </c>
      <c r="AD260" s="40">
        <v>163</v>
      </c>
      <c r="AE260" s="128">
        <v>31.4</v>
      </c>
      <c r="AF260" s="40">
        <v>2.48</v>
      </c>
      <c r="AG260" s="41">
        <v>177</v>
      </c>
      <c r="AH260" s="40">
        <v>48.2</v>
      </c>
      <c r="AI260" s="41">
        <v>5.83</v>
      </c>
      <c r="AJ260" s="40">
        <v>10300</v>
      </c>
      <c r="AK260" s="40">
        <v>41.1</v>
      </c>
      <c r="AL260" s="40">
        <v>93.3</v>
      </c>
      <c r="AM260" s="40">
        <v>34.200000000000003</v>
      </c>
      <c r="AN260" s="40">
        <v>86.8</v>
      </c>
      <c r="AO260" s="130" t="s">
        <v>468</v>
      </c>
      <c r="AP260" s="39" t="s">
        <v>69</v>
      </c>
      <c r="AQ260" s="40">
        <f t="shared" si="71"/>
        <v>105.11830403502522</v>
      </c>
      <c r="AR260" s="41">
        <f t="shared" si="81"/>
        <v>15.925000000000001</v>
      </c>
      <c r="AS260" s="37">
        <f t="shared" si="72"/>
        <v>367.00245062284495</v>
      </c>
      <c r="AT260" s="42">
        <f t="shared" si="73"/>
        <v>8850</v>
      </c>
      <c r="AU260" s="31">
        <f t="shared" si="74"/>
        <v>5495</v>
      </c>
      <c r="AV260" s="31">
        <f t="shared" si="75"/>
        <v>12.811008393266528</v>
      </c>
      <c r="AW260" s="37">
        <f t="shared" si="76"/>
        <v>9756.5220828956226</v>
      </c>
      <c r="AX260" s="31">
        <f t="shared" si="77"/>
        <v>105.11830403502522</v>
      </c>
      <c r="AY260" s="42">
        <f t="shared" si="78"/>
        <v>9996.8197443436929</v>
      </c>
      <c r="AZ260" s="42">
        <f t="shared" si="82"/>
        <v>1531773.9670146126</v>
      </c>
      <c r="BA260" s="42">
        <f t="shared" si="79"/>
        <v>9841.2521351047817</v>
      </c>
      <c r="BB260" s="42">
        <f t="shared" si="80"/>
        <v>2410</v>
      </c>
      <c r="BC260" s="38">
        <f t="shared" si="83"/>
        <v>15.22</v>
      </c>
      <c r="BD260" s="38">
        <f t="shared" si="84"/>
        <v>28.990476190476191</v>
      </c>
      <c r="BE260" s="38">
        <f t="shared" si="85"/>
        <v>8.82</v>
      </c>
      <c r="BH260" s="34">
        <v>31.9</v>
      </c>
      <c r="BI260" s="43">
        <v>2.79</v>
      </c>
    </row>
    <row r="261" spans="14:61">
      <c r="N261" s="30" t="s">
        <v>470</v>
      </c>
      <c r="O261" s="40">
        <v>22.9</v>
      </c>
      <c r="P261" s="128">
        <v>16.5</v>
      </c>
      <c r="Q261" s="128">
        <v>0.45500000000000002</v>
      </c>
      <c r="R261" s="128">
        <v>10.3</v>
      </c>
      <c r="S261" s="128">
        <v>0.76</v>
      </c>
      <c r="T261" s="40">
        <v>1.47</v>
      </c>
      <c r="U261" s="132">
        <v>1.0625</v>
      </c>
      <c r="V261" s="40">
        <v>6.77</v>
      </c>
      <c r="W261" s="84" t="s">
        <v>127</v>
      </c>
      <c r="X261" s="35">
        <f t="shared" si="69"/>
        <v>32.92307692307692</v>
      </c>
      <c r="Y261" s="36">
        <f t="shared" si="70"/>
        <v>2.8259043320886938</v>
      </c>
      <c r="Z261" s="34">
        <v>2.11</v>
      </c>
      <c r="AA261" s="40">
        <v>1120</v>
      </c>
      <c r="AB261" s="128">
        <v>136</v>
      </c>
      <c r="AC261" s="40">
        <v>7</v>
      </c>
      <c r="AD261" s="40">
        <v>138</v>
      </c>
      <c r="AE261" s="128">
        <v>26.9</v>
      </c>
      <c r="AF261" s="40">
        <v>2.46</v>
      </c>
      <c r="AG261" s="41">
        <v>152</v>
      </c>
      <c r="AH261" s="40">
        <v>41.2</v>
      </c>
      <c r="AI261" s="41">
        <v>3.86</v>
      </c>
      <c r="AJ261" s="40">
        <v>8570</v>
      </c>
      <c r="AK261" s="40">
        <v>40.6</v>
      </c>
      <c r="AL261" s="40">
        <v>79.3</v>
      </c>
      <c r="AM261" s="40">
        <v>29.5</v>
      </c>
      <c r="AN261" s="40">
        <v>74.5</v>
      </c>
      <c r="AO261" s="130" t="s">
        <v>468</v>
      </c>
      <c r="AP261" s="39" t="s">
        <v>69</v>
      </c>
      <c r="AQ261" s="40">
        <f t="shared" si="71"/>
        <v>104.27057577667826</v>
      </c>
      <c r="AR261" s="41">
        <f t="shared" si="81"/>
        <v>15.74</v>
      </c>
      <c r="AS261" s="37">
        <f t="shared" si="72"/>
        <v>336.21350449282511</v>
      </c>
      <c r="AT261" s="42">
        <f t="shared" si="73"/>
        <v>7600</v>
      </c>
      <c r="AU261" s="31">
        <f t="shared" si="74"/>
        <v>4760</v>
      </c>
      <c r="AV261" s="31">
        <f t="shared" si="75"/>
        <v>12.244391392830988</v>
      </c>
      <c r="AW261" s="37">
        <f t="shared" si="76"/>
        <v>9419.8012801759269</v>
      </c>
      <c r="AX261" s="31">
        <f t="shared" si="77"/>
        <v>104.27057577667826</v>
      </c>
      <c r="AY261" s="42">
        <f t="shared" si="78"/>
        <v>8685.7172348373279</v>
      </c>
      <c r="AZ261" s="42">
        <f t="shared" si="82"/>
        <v>1281092.974103926</v>
      </c>
      <c r="BA261" s="42">
        <f t="shared" si="79"/>
        <v>8439.0927164523346</v>
      </c>
      <c r="BB261" s="42">
        <f t="shared" si="80"/>
        <v>2060</v>
      </c>
      <c r="BC261" s="38">
        <f t="shared" si="83"/>
        <v>15.03</v>
      </c>
      <c r="BD261" s="38">
        <f t="shared" si="84"/>
        <v>33.032967032967029</v>
      </c>
      <c r="BE261" s="38">
        <f t="shared" si="85"/>
        <v>7.5075000000000003</v>
      </c>
      <c r="BH261" s="34">
        <v>36.299999999999997</v>
      </c>
      <c r="BI261" s="43">
        <v>2.77</v>
      </c>
    </row>
    <row r="262" spans="14:61">
      <c r="N262" s="30" t="s">
        <v>471</v>
      </c>
      <c r="O262" s="40">
        <v>20</v>
      </c>
      <c r="P262" s="128">
        <v>16.3</v>
      </c>
      <c r="Q262" s="128">
        <v>0.39500000000000002</v>
      </c>
      <c r="R262" s="128">
        <v>10.199999999999999</v>
      </c>
      <c r="S262" s="128">
        <v>0.66500000000000004</v>
      </c>
      <c r="T262" s="40">
        <v>1.37</v>
      </c>
      <c r="U262" s="129">
        <v>1</v>
      </c>
      <c r="V262" s="40">
        <v>7.7</v>
      </c>
      <c r="W262" s="84" t="s">
        <v>127</v>
      </c>
      <c r="X262" s="35">
        <f t="shared" si="69"/>
        <v>37.898734177215189</v>
      </c>
      <c r="Y262" s="36">
        <f t="shared" si="70"/>
        <v>2.7959792560031631</v>
      </c>
      <c r="Z262" s="34">
        <v>2.4</v>
      </c>
      <c r="AA262" s="40">
        <v>970</v>
      </c>
      <c r="AB262" s="128">
        <v>119</v>
      </c>
      <c r="AC262" s="40">
        <v>6.97</v>
      </c>
      <c r="AD262" s="40">
        <v>119</v>
      </c>
      <c r="AE262" s="128">
        <v>23.2</v>
      </c>
      <c r="AF262" s="40">
        <v>2.44</v>
      </c>
      <c r="AG262" s="41">
        <v>132</v>
      </c>
      <c r="AH262" s="40">
        <v>35.6</v>
      </c>
      <c r="AI262" s="41">
        <v>2.62</v>
      </c>
      <c r="AJ262" s="40">
        <v>7300</v>
      </c>
      <c r="AK262" s="40">
        <v>40.1</v>
      </c>
      <c r="AL262" s="40">
        <v>68.2</v>
      </c>
      <c r="AM262" s="40">
        <v>25.6</v>
      </c>
      <c r="AN262" s="40">
        <v>64.400000000000006</v>
      </c>
      <c r="AO262" s="130" t="s">
        <v>468</v>
      </c>
      <c r="AP262" s="39" t="s">
        <v>69</v>
      </c>
      <c r="AQ262" s="40">
        <f t="shared" si="71"/>
        <v>103.42284751833125</v>
      </c>
      <c r="AR262" s="41">
        <f t="shared" si="81"/>
        <v>15.635000000000002</v>
      </c>
      <c r="AS262" s="37">
        <f t="shared" si="72"/>
        <v>314.52948459911846</v>
      </c>
      <c r="AT262" s="42">
        <f t="shared" si="73"/>
        <v>6600</v>
      </c>
      <c r="AU262" s="31">
        <f t="shared" si="74"/>
        <v>4165</v>
      </c>
      <c r="AV262" s="31">
        <f t="shared" si="75"/>
        <v>11.534454973427309</v>
      </c>
      <c r="AW262" s="37">
        <f t="shared" si="76"/>
        <v>9217.3735745753747</v>
      </c>
      <c r="AX262" s="31">
        <f t="shared" si="77"/>
        <v>103.42284751833125</v>
      </c>
      <c r="AY262" s="42">
        <f t="shared" si="78"/>
        <v>7612.9886803383642</v>
      </c>
      <c r="AZ262" s="42">
        <f t="shared" si="82"/>
        <v>1096867.4553744695</v>
      </c>
      <c r="BA262" s="42">
        <f t="shared" si="79"/>
        <v>7319.4333678033217</v>
      </c>
      <c r="BB262" s="42">
        <f t="shared" si="80"/>
        <v>1780</v>
      </c>
      <c r="BC262" s="38">
        <f t="shared" si="83"/>
        <v>14.93</v>
      </c>
      <c r="BD262" s="38">
        <f t="shared" si="84"/>
        <v>37.797468354430379</v>
      </c>
      <c r="BE262" s="38">
        <f t="shared" si="85"/>
        <v>6.4385000000000003</v>
      </c>
      <c r="BH262" s="34">
        <v>41.3</v>
      </c>
      <c r="BI262" s="43">
        <v>2.75</v>
      </c>
    </row>
    <row r="263" spans="14:61">
      <c r="N263" s="30" t="s">
        <v>472</v>
      </c>
      <c r="O263" s="40">
        <v>16.8</v>
      </c>
      <c r="P263" s="128">
        <v>16.399999999999999</v>
      </c>
      <c r="Q263" s="128">
        <v>0.43</v>
      </c>
      <c r="R263" s="128">
        <v>7.12</v>
      </c>
      <c r="S263" s="128">
        <v>0.71499999999999997</v>
      </c>
      <c r="T263" s="40">
        <v>1.1200000000000001</v>
      </c>
      <c r="U263" s="145">
        <v>0.875</v>
      </c>
      <c r="V263" s="40">
        <v>4.9800000000000004</v>
      </c>
      <c r="W263" s="84" t="s">
        <v>127</v>
      </c>
      <c r="X263" s="35">
        <f t="shared" si="69"/>
        <v>34.813953488372093</v>
      </c>
      <c r="Y263" s="36">
        <f t="shared" si="70"/>
        <v>1.9146986815723122</v>
      </c>
      <c r="Z263" s="34">
        <v>3.23</v>
      </c>
      <c r="AA263" s="40">
        <v>758</v>
      </c>
      <c r="AB263" s="128">
        <v>92.2</v>
      </c>
      <c r="AC263" s="40">
        <v>6.72</v>
      </c>
      <c r="AD263" s="40">
        <v>43.1</v>
      </c>
      <c r="AE263" s="128">
        <v>12.1</v>
      </c>
      <c r="AF263" s="40">
        <v>1.6</v>
      </c>
      <c r="AG263" s="41">
        <v>105</v>
      </c>
      <c r="AH263" s="40">
        <v>18.899999999999999</v>
      </c>
      <c r="AI263" s="41">
        <v>2.2200000000000002</v>
      </c>
      <c r="AJ263" s="40">
        <v>2660</v>
      </c>
      <c r="AK263" s="40">
        <v>28</v>
      </c>
      <c r="AL263" s="40">
        <v>35.6</v>
      </c>
      <c r="AM263" s="40">
        <v>18.8</v>
      </c>
      <c r="AN263" s="40">
        <v>52.1</v>
      </c>
      <c r="AO263" s="130" t="s">
        <v>473</v>
      </c>
      <c r="AP263" s="39" t="s">
        <v>204</v>
      </c>
      <c r="AQ263" s="40">
        <f t="shared" si="71"/>
        <v>67.81826066775821</v>
      </c>
      <c r="AR263" s="41">
        <f t="shared" si="81"/>
        <v>15.684999999999999</v>
      </c>
      <c r="AS263" s="37">
        <f t="shared" si="72"/>
        <v>219.37144206838411</v>
      </c>
      <c r="AT263" s="42">
        <f t="shared" si="73"/>
        <v>5250</v>
      </c>
      <c r="AU263" s="31">
        <f t="shared" si="74"/>
        <v>3227</v>
      </c>
      <c r="AV263" s="31">
        <f t="shared" si="75"/>
        <v>13.348449575943016</v>
      </c>
      <c r="AW263" s="37">
        <f t="shared" si="76"/>
        <v>4332.2959043354003</v>
      </c>
      <c r="AX263" s="31">
        <f t="shared" si="77"/>
        <v>67.81826066775821</v>
      </c>
      <c r="AY263" s="42">
        <f t="shared" si="78"/>
        <v>5947.0328194670192</v>
      </c>
      <c r="AZ263" s="42">
        <f t="shared" si="82"/>
        <v>399437.68237972393</v>
      </c>
      <c r="BA263" s="42">
        <f t="shared" si="79"/>
        <v>5847.7058328813628</v>
      </c>
      <c r="BB263" s="42">
        <f t="shared" si="80"/>
        <v>944.99999999999989</v>
      </c>
      <c r="BC263" s="38">
        <f t="shared" si="83"/>
        <v>15.279999999999998</v>
      </c>
      <c r="BD263" s="38">
        <f t="shared" si="84"/>
        <v>35.534883720930225</v>
      </c>
      <c r="BE263" s="38">
        <f t="shared" si="85"/>
        <v>7.0519999999999996</v>
      </c>
      <c r="BH263" s="34">
        <v>38.200000000000003</v>
      </c>
      <c r="BI263" s="43">
        <v>1.86</v>
      </c>
    </row>
    <row r="264" spans="14:61">
      <c r="N264" s="30" t="s">
        <v>474</v>
      </c>
      <c r="O264" s="40">
        <v>14.7</v>
      </c>
      <c r="P264" s="128">
        <v>16.3</v>
      </c>
      <c r="Q264" s="128">
        <v>0.38</v>
      </c>
      <c r="R264" s="128">
        <v>7.07</v>
      </c>
      <c r="S264" s="128">
        <v>0.63</v>
      </c>
      <c r="T264" s="40">
        <v>1.03</v>
      </c>
      <c r="U264" s="132">
        <v>0.8125</v>
      </c>
      <c r="V264" s="40">
        <v>5.61</v>
      </c>
      <c r="W264" s="84" t="s">
        <v>127</v>
      </c>
      <c r="X264" s="35">
        <f t="shared" si="69"/>
        <v>39.578947368421055</v>
      </c>
      <c r="Y264" s="36">
        <f t="shared" si="70"/>
        <v>1.8969175776233127</v>
      </c>
      <c r="Z264" s="34">
        <v>3.65</v>
      </c>
      <c r="AA264" s="40">
        <v>659</v>
      </c>
      <c r="AB264" s="128">
        <v>81</v>
      </c>
      <c r="AC264" s="40">
        <v>6.68</v>
      </c>
      <c r="AD264" s="40">
        <v>37.200000000000003</v>
      </c>
      <c r="AE264" s="128">
        <v>10.5</v>
      </c>
      <c r="AF264" s="40">
        <v>1.59</v>
      </c>
      <c r="AG264" s="41">
        <v>92</v>
      </c>
      <c r="AH264" s="40">
        <v>16.3</v>
      </c>
      <c r="AI264" s="41">
        <v>1.52</v>
      </c>
      <c r="AJ264" s="40">
        <v>2270</v>
      </c>
      <c r="AK264" s="40">
        <v>27.6</v>
      </c>
      <c r="AL264" s="40">
        <v>30.8</v>
      </c>
      <c r="AM264" s="40">
        <v>16.5</v>
      </c>
      <c r="AN264" s="40">
        <v>45.5</v>
      </c>
      <c r="AO264" s="130" t="s">
        <v>473</v>
      </c>
      <c r="AP264" s="39" t="s">
        <v>204</v>
      </c>
      <c r="AQ264" s="40">
        <f t="shared" si="71"/>
        <v>67.394396538584715</v>
      </c>
      <c r="AR264" s="41">
        <f t="shared" si="81"/>
        <v>15.67</v>
      </c>
      <c r="AS264" s="37">
        <f t="shared" si="72"/>
        <v>206.87840493210479</v>
      </c>
      <c r="AT264" s="42">
        <f t="shared" si="73"/>
        <v>4600</v>
      </c>
      <c r="AU264" s="31">
        <f t="shared" si="74"/>
        <v>2835</v>
      </c>
      <c r="AV264" s="31">
        <f t="shared" si="75"/>
        <v>12.653780317385801</v>
      </c>
      <c r="AW264" s="37">
        <f t="shared" si="76"/>
        <v>4248.7628358182928</v>
      </c>
      <c r="AX264" s="31">
        <f t="shared" si="77"/>
        <v>67.394396538584715</v>
      </c>
      <c r="AY264" s="42">
        <f t="shared" si="78"/>
        <v>5255.3949154708189</v>
      </c>
      <c r="AZ264" s="42">
        <f t="shared" si="82"/>
        <v>344149.7897012817</v>
      </c>
      <c r="BA264" s="42">
        <f t="shared" si="79"/>
        <v>5121.4783959642145</v>
      </c>
      <c r="BB264" s="42">
        <f t="shared" si="80"/>
        <v>815</v>
      </c>
      <c r="BC264" s="38">
        <f t="shared" si="83"/>
        <v>15.270000000000001</v>
      </c>
      <c r="BD264" s="38">
        <f t="shared" si="84"/>
        <v>40.184210526315795</v>
      </c>
      <c r="BE264" s="38">
        <f t="shared" si="85"/>
        <v>6.194</v>
      </c>
      <c r="BH264" s="34">
        <v>42.8</v>
      </c>
      <c r="BI264" s="43">
        <v>1.84</v>
      </c>
    </row>
    <row r="265" spans="14:61">
      <c r="N265" s="30" t="s">
        <v>475</v>
      </c>
      <c r="O265" s="40">
        <v>13.3</v>
      </c>
      <c r="P265" s="128">
        <v>16.100000000000001</v>
      </c>
      <c r="Q265" s="128">
        <v>0.34499999999999997</v>
      </c>
      <c r="R265" s="128">
        <v>7.04</v>
      </c>
      <c r="S265" s="128">
        <v>0.56499999999999995</v>
      </c>
      <c r="T265" s="40">
        <v>0.96699999999999997</v>
      </c>
      <c r="U265" s="132">
        <v>0.8125</v>
      </c>
      <c r="V265" s="40">
        <v>6.23</v>
      </c>
      <c r="W265" s="84" t="s">
        <v>127</v>
      </c>
      <c r="X265" s="35">
        <f t="shared" si="69"/>
        <v>43.3913043478261</v>
      </c>
      <c r="Y265" s="36">
        <f t="shared" si="70"/>
        <v>1.8720194099559222</v>
      </c>
      <c r="Z265" s="34">
        <v>4.0599999999999996</v>
      </c>
      <c r="AA265" s="40">
        <v>586</v>
      </c>
      <c r="AB265" s="128">
        <v>72.7</v>
      </c>
      <c r="AC265" s="40">
        <v>6.65</v>
      </c>
      <c r="AD265" s="40">
        <v>32.799999999999997</v>
      </c>
      <c r="AE265" s="128">
        <v>9.34</v>
      </c>
      <c r="AF265" s="40">
        <v>1.57</v>
      </c>
      <c r="AG265" s="41">
        <v>82.3</v>
      </c>
      <c r="AH265" s="40">
        <v>14.5</v>
      </c>
      <c r="AI265" s="41">
        <v>1.1100000000000001</v>
      </c>
      <c r="AJ265" s="40">
        <v>1990</v>
      </c>
      <c r="AK265" s="40">
        <v>27.4</v>
      </c>
      <c r="AL265" s="40">
        <v>27.2</v>
      </c>
      <c r="AM265" s="40">
        <v>14.7</v>
      </c>
      <c r="AN265" s="40">
        <v>40.6</v>
      </c>
      <c r="AO265" s="130" t="s">
        <v>473</v>
      </c>
      <c r="AP265" s="39" t="s">
        <v>204</v>
      </c>
      <c r="AQ265" s="40">
        <f t="shared" si="71"/>
        <v>66.546668280237753</v>
      </c>
      <c r="AR265" s="41">
        <f t="shared" si="81"/>
        <v>15.535000000000002</v>
      </c>
      <c r="AS265" s="37">
        <f t="shared" si="72"/>
        <v>197.67121476327469</v>
      </c>
      <c r="AT265" s="42">
        <f t="shared" si="73"/>
        <v>4115</v>
      </c>
      <c r="AU265" s="31">
        <f t="shared" si="74"/>
        <v>2544.5</v>
      </c>
      <c r="AV265" s="31">
        <f t="shared" si="75"/>
        <v>11.977162492631914</v>
      </c>
      <c r="AW265" s="37">
        <f t="shared" si="76"/>
        <v>4135.9159386276942</v>
      </c>
      <c r="AX265" s="31">
        <f t="shared" si="77"/>
        <v>66.546668280237753</v>
      </c>
      <c r="AY265" s="42">
        <f t="shared" si="78"/>
        <v>4725.1965244506237</v>
      </c>
      <c r="AZ265" s="42">
        <f t="shared" si="82"/>
        <v>300681.08873823337</v>
      </c>
      <c r="BA265" s="42">
        <f t="shared" si="79"/>
        <v>4579.0123630945036</v>
      </c>
      <c r="BB265" s="42">
        <f t="shared" si="80"/>
        <v>725</v>
      </c>
      <c r="BC265" s="38">
        <f t="shared" si="83"/>
        <v>15.133000000000001</v>
      </c>
      <c r="BD265" s="38">
        <f t="shared" si="84"/>
        <v>43.863768115942037</v>
      </c>
      <c r="BE265" s="38">
        <f t="shared" si="85"/>
        <v>5.5545</v>
      </c>
      <c r="BH265" s="34">
        <v>46.8</v>
      </c>
      <c r="BI265" s="43">
        <v>1.83</v>
      </c>
    </row>
    <row r="266" spans="14:61">
      <c r="N266" s="30" t="s">
        <v>476</v>
      </c>
      <c r="O266" s="40">
        <v>11.8</v>
      </c>
      <c r="P266" s="128">
        <v>16</v>
      </c>
      <c r="Q266" s="128">
        <v>0.30499999999999999</v>
      </c>
      <c r="R266" s="128">
        <v>7</v>
      </c>
      <c r="S266" s="128">
        <v>0.505</v>
      </c>
      <c r="T266" s="40">
        <v>0.90700000000000003</v>
      </c>
      <c r="U266" s="132">
        <v>0.8125</v>
      </c>
      <c r="V266" s="40">
        <v>6.93</v>
      </c>
      <c r="W266" s="84" t="s">
        <v>127</v>
      </c>
      <c r="X266" s="35">
        <f t="shared" si="69"/>
        <v>49.147540983606561</v>
      </c>
      <c r="Y266" s="36">
        <f t="shared" si="70"/>
        <v>1.8602768154187546</v>
      </c>
      <c r="Z266" s="34">
        <v>4.53</v>
      </c>
      <c r="AA266" s="40">
        <v>518</v>
      </c>
      <c r="AB266" s="128">
        <v>64.7</v>
      </c>
      <c r="AC266" s="40">
        <v>6.63</v>
      </c>
      <c r="AD266" s="40">
        <v>28.9</v>
      </c>
      <c r="AE266" s="128">
        <v>8.25</v>
      </c>
      <c r="AF266" s="40">
        <v>1.57</v>
      </c>
      <c r="AG266" s="41">
        <v>73</v>
      </c>
      <c r="AH266" s="40">
        <v>12.7</v>
      </c>
      <c r="AI266" s="41">
        <v>0.79400000000000004</v>
      </c>
      <c r="AJ266" s="40">
        <v>1740</v>
      </c>
      <c r="AK266" s="40">
        <v>27.1</v>
      </c>
      <c r="AL266" s="40">
        <v>23.9</v>
      </c>
      <c r="AM266" s="40">
        <v>13.1</v>
      </c>
      <c r="AN266" s="40">
        <v>36</v>
      </c>
      <c r="AO266" s="130" t="s">
        <v>473</v>
      </c>
      <c r="AP266" s="39" t="s">
        <v>204</v>
      </c>
      <c r="AQ266" s="40">
        <f t="shared" si="71"/>
        <v>66.546668280237753</v>
      </c>
      <c r="AR266" s="41">
        <f t="shared" si="81"/>
        <v>15.494999999999999</v>
      </c>
      <c r="AS266" s="37">
        <f t="shared" si="72"/>
        <v>190.76774816386489</v>
      </c>
      <c r="AT266" s="42">
        <f t="shared" si="73"/>
        <v>3650</v>
      </c>
      <c r="AU266" s="31">
        <f t="shared" si="74"/>
        <v>2264.5</v>
      </c>
      <c r="AV266" s="31">
        <f t="shared" si="75"/>
        <v>11.153501493449943</v>
      </c>
      <c r="AW266" s="37">
        <f t="shared" si="76"/>
        <v>4082.2023212559411</v>
      </c>
      <c r="AX266" s="31">
        <f t="shared" si="77"/>
        <v>66.546668280237753</v>
      </c>
      <c r="AY266" s="42">
        <f t="shared" si="78"/>
        <v>4218.2337407499308</v>
      </c>
      <c r="AZ266" s="42">
        <f t="shared" si="82"/>
        <v>264118.49018525938</v>
      </c>
      <c r="BA266" s="42">
        <f t="shared" si="79"/>
        <v>4059.3531544523621</v>
      </c>
      <c r="BB266" s="42">
        <f t="shared" si="80"/>
        <v>635</v>
      </c>
      <c r="BC266" s="38">
        <f t="shared" si="83"/>
        <v>15.093</v>
      </c>
      <c r="BD266" s="38">
        <f t="shared" si="84"/>
        <v>49.485245901639345</v>
      </c>
      <c r="BE266" s="38">
        <f t="shared" si="85"/>
        <v>4.88</v>
      </c>
      <c r="BH266" s="34">
        <v>52.5</v>
      </c>
      <c r="BI266" s="43">
        <v>1.82</v>
      </c>
    </row>
    <row r="267" spans="14:61">
      <c r="N267" s="30" t="s">
        <v>477</v>
      </c>
      <c r="O267" s="40">
        <v>10.6</v>
      </c>
      <c r="P267" s="128">
        <v>15.9</v>
      </c>
      <c r="Q267" s="128">
        <v>0.29499999999999998</v>
      </c>
      <c r="R267" s="128">
        <v>6.99</v>
      </c>
      <c r="S267" s="128">
        <v>0.43</v>
      </c>
      <c r="T267" s="40">
        <v>0.83199999999999996</v>
      </c>
      <c r="U267" s="132">
        <v>0.75</v>
      </c>
      <c r="V267" s="40">
        <v>8.1199999999999992</v>
      </c>
      <c r="W267" s="34">
        <v>64</v>
      </c>
      <c r="X267" s="35">
        <f t="shared" si="69"/>
        <v>50.983050847457633</v>
      </c>
      <c r="Y267" s="36">
        <f t="shared" si="70"/>
        <v>1.8314243211904193</v>
      </c>
      <c r="Z267" s="34">
        <v>5.28</v>
      </c>
      <c r="AA267" s="40">
        <v>448</v>
      </c>
      <c r="AB267" s="128">
        <v>56.5</v>
      </c>
      <c r="AC267" s="40">
        <v>6.51</v>
      </c>
      <c r="AD267" s="40">
        <v>24.5</v>
      </c>
      <c r="AE267" s="128">
        <v>7</v>
      </c>
      <c r="AF267" s="40">
        <v>1.52</v>
      </c>
      <c r="AG267" s="41">
        <v>64</v>
      </c>
      <c r="AH267" s="40">
        <v>10.8</v>
      </c>
      <c r="AI267" s="41">
        <v>0.54500000000000004</v>
      </c>
      <c r="AJ267" s="40">
        <v>1460</v>
      </c>
      <c r="AK267" s="40">
        <v>26.9</v>
      </c>
      <c r="AL267" s="40">
        <v>20.2</v>
      </c>
      <c r="AM267" s="40">
        <v>11.1</v>
      </c>
      <c r="AN267" s="40">
        <v>31.5</v>
      </c>
      <c r="AO267" s="130" t="s">
        <v>473</v>
      </c>
      <c r="AP267" s="39" t="s">
        <v>204</v>
      </c>
      <c r="AQ267" s="40">
        <f t="shared" si="71"/>
        <v>64.427347634370307</v>
      </c>
      <c r="AR267" s="41">
        <f t="shared" si="81"/>
        <v>15.47</v>
      </c>
      <c r="AS267" s="37">
        <f t="shared" si="72"/>
        <v>182.95530652176026</v>
      </c>
      <c r="AT267" s="42">
        <f t="shared" si="73"/>
        <v>3200</v>
      </c>
      <c r="AU267" s="31">
        <f t="shared" si="74"/>
        <v>1977.5</v>
      </c>
      <c r="AV267" s="31">
        <f t="shared" si="75"/>
        <v>10.314022206030414</v>
      </c>
      <c r="AW267" s="37">
        <f t="shared" si="76"/>
        <v>3954.9495842316423</v>
      </c>
      <c r="AX267" s="31">
        <f t="shared" si="77"/>
        <v>64.427347634370307</v>
      </c>
      <c r="AY267" s="42">
        <f t="shared" si="78"/>
        <v>3703.6063477624621</v>
      </c>
      <c r="AZ267" s="42">
        <f t="shared" si="82"/>
        <v>223454.65150908779</v>
      </c>
      <c r="BA267" s="42">
        <f t="shared" si="79"/>
        <v>3561.1939598109079</v>
      </c>
      <c r="BB267" s="42">
        <f t="shared" si="80"/>
        <v>540</v>
      </c>
      <c r="BC267" s="38">
        <f t="shared" si="83"/>
        <v>15.068</v>
      </c>
      <c r="BD267" s="38">
        <f t="shared" si="84"/>
        <v>51.077966101694919</v>
      </c>
      <c r="BE267" s="38">
        <f t="shared" si="85"/>
        <v>4.6905000000000001</v>
      </c>
      <c r="BH267" s="34">
        <v>53.8</v>
      </c>
      <c r="BI267" s="43">
        <v>1.79</v>
      </c>
    </row>
    <row r="268" spans="14:61">
      <c r="N268" s="30" t="s">
        <v>478</v>
      </c>
      <c r="O268" s="40">
        <v>9.1300000000000008</v>
      </c>
      <c r="P268" s="128">
        <v>15.9</v>
      </c>
      <c r="Q268" s="128">
        <v>0.27500000000000002</v>
      </c>
      <c r="R268" s="128">
        <v>5.53</v>
      </c>
      <c r="S268" s="128">
        <v>0.44</v>
      </c>
      <c r="T268" s="40">
        <v>0.84199999999999997</v>
      </c>
      <c r="U268" s="132">
        <v>0.75</v>
      </c>
      <c r="V268" s="40">
        <v>6.28</v>
      </c>
      <c r="W268" s="84" t="s">
        <v>127</v>
      </c>
      <c r="X268" s="35">
        <f t="shared" si="69"/>
        <v>54.61818181818181</v>
      </c>
      <c r="Y268" s="36">
        <f t="shared" si="70"/>
        <v>1.4250483191332168</v>
      </c>
      <c r="Z268" s="34">
        <v>6.53</v>
      </c>
      <c r="AA268" s="40">
        <v>375</v>
      </c>
      <c r="AB268" s="128">
        <v>47.2</v>
      </c>
      <c r="AC268" s="40">
        <v>6.41</v>
      </c>
      <c r="AD268" s="40">
        <v>12.4</v>
      </c>
      <c r="AE268" s="128">
        <v>4.49</v>
      </c>
      <c r="AF268" s="40">
        <v>1.17</v>
      </c>
      <c r="AG268" s="41">
        <v>54</v>
      </c>
      <c r="AH268" s="40">
        <v>7.03</v>
      </c>
      <c r="AI268" s="41">
        <v>0.46100000000000002</v>
      </c>
      <c r="AJ268" s="40">
        <v>739</v>
      </c>
      <c r="AK268" s="40">
        <v>21.3</v>
      </c>
      <c r="AL268" s="40">
        <v>13</v>
      </c>
      <c r="AM268" s="40">
        <v>8.92</v>
      </c>
      <c r="AN268" s="40">
        <v>26.5</v>
      </c>
      <c r="AO268" s="130" t="s">
        <v>473</v>
      </c>
      <c r="AP268" s="30">
        <v>2.75</v>
      </c>
      <c r="AQ268" s="40">
        <f t="shared" si="71"/>
        <v>49.592103113298187</v>
      </c>
      <c r="AR268" s="41">
        <f t="shared" si="81"/>
        <v>15.46</v>
      </c>
      <c r="AS268" s="37">
        <f t="shared" si="72"/>
        <v>142.5423061651226</v>
      </c>
      <c r="AT268" s="42">
        <f t="shared" si="73"/>
        <v>2700</v>
      </c>
      <c r="AU268" s="31">
        <f t="shared" si="74"/>
        <v>1652</v>
      </c>
      <c r="AV268" s="31">
        <f t="shared" si="75"/>
        <v>11.274854336958116</v>
      </c>
      <c r="AW268" s="37">
        <f t="shared" si="76"/>
        <v>2397.3739849275453</v>
      </c>
      <c r="AX268" s="31">
        <f t="shared" si="77"/>
        <v>49.592103113298187</v>
      </c>
      <c r="AY268" s="42">
        <f t="shared" si="78"/>
        <v>3083.2560112092974</v>
      </c>
      <c r="AZ268" s="42">
        <f t="shared" si="82"/>
        <v>113156.05208858014</v>
      </c>
      <c r="BA268" s="42">
        <f t="shared" si="79"/>
        <v>3009.6370305781852</v>
      </c>
      <c r="BB268" s="42">
        <f t="shared" si="80"/>
        <v>351.5</v>
      </c>
      <c r="BC268" s="38">
        <f t="shared" si="83"/>
        <v>15.058</v>
      </c>
      <c r="BD268" s="38">
        <f t="shared" si="84"/>
        <v>54.756363636363631</v>
      </c>
      <c r="BE268" s="38">
        <f t="shared" si="85"/>
        <v>4.3725000000000005</v>
      </c>
      <c r="BH268" s="34">
        <v>57.7</v>
      </c>
      <c r="BI268" s="43">
        <v>1.39</v>
      </c>
    </row>
    <row r="269" spans="14:61">
      <c r="N269" s="30" t="s">
        <v>479</v>
      </c>
      <c r="O269" s="40">
        <v>7.68</v>
      </c>
      <c r="P269" s="128">
        <v>15.7</v>
      </c>
      <c r="Q269" s="128">
        <v>0.25</v>
      </c>
      <c r="R269" s="128">
        <v>5.5</v>
      </c>
      <c r="S269" s="128">
        <v>0.34499999999999997</v>
      </c>
      <c r="T269" s="40">
        <v>0.747</v>
      </c>
      <c r="U269" s="132">
        <v>0.75</v>
      </c>
      <c r="V269" s="40">
        <v>7.97</v>
      </c>
      <c r="W269" s="84" t="s">
        <v>127</v>
      </c>
      <c r="X269" s="35">
        <f t="shared" si="69"/>
        <v>60.04</v>
      </c>
      <c r="Y269" s="36">
        <f t="shared" si="70"/>
        <v>1.3846933418781455</v>
      </c>
      <c r="Z269" s="34">
        <v>8.27</v>
      </c>
      <c r="AA269" s="40">
        <v>301</v>
      </c>
      <c r="AB269" s="128">
        <v>38.4</v>
      </c>
      <c r="AC269" s="40">
        <v>6.26</v>
      </c>
      <c r="AD269" s="40">
        <v>9.59</v>
      </c>
      <c r="AE269" s="128">
        <v>3.49</v>
      </c>
      <c r="AF269" s="40">
        <v>1.1200000000000001</v>
      </c>
      <c r="AG269" s="41">
        <v>44.2</v>
      </c>
      <c r="AH269" s="40">
        <v>5.48</v>
      </c>
      <c r="AI269" s="41">
        <v>0.26200000000000001</v>
      </c>
      <c r="AJ269" s="40">
        <v>565</v>
      </c>
      <c r="AK269" s="40">
        <v>21.1</v>
      </c>
      <c r="AL269" s="40">
        <v>10</v>
      </c>
      <c r="AM269" s="40">
        <v>6.95</v>
      </c>
      <c r="AN269" s="40">
        <v>21.6</v>
      </c>
      <c r="AO269" s="130" t="s">
        <v>473</v>
      </c>
      <c r="AP269" s="30">
        <v>2.75</v>
      </c>
      <c r="AQ269" s="40">
        <f t="shared" si="71"/>
        <v>47.472782467430754</v>
      </c>
      <c r="AR269" s="41">
        <f t="shared" si="81"/>
        <v>15.354999999999999</v>
      </c>
      <c r="AS269" s="37">
        <f t="shared" si="72"/>
        <v>134.48908295745775</v>
      </c>
      <c r="AT269" s="42">
        <f t="shared" si="73"/>
        <v>2210</v>
      </c>
      <c r="AU269" s="31">
        <f t="shared" si="74"/>
        <v>1344</v>
      </c>
      <c r="AV269" s="31">
        <f t="shared" si="75"/>
        <v>9.9521583326707042</v>
      </c>
      <c r="AW269" s="37">
        <f t="shared" si="76"/>
        <v>2261.8220463081557</v>
      </c>
      <c r="AX269" s="31">
        <f t="shared" si="77"/>
        <v>47.472782467430754</v>
      </c>
      <c r="AY269" s="42">
        <f t="shared" si="78"/>
        <v>2527.2029776186419</v>
      </c>
      <c r="AZ269" s="42">
        <f t="shared" si="82"/>
        <v>86853.966578233172</v>
      </c>
      <c r="BA269" s="42">
        <f t="shared" si="79"/>
        <v>2465.8641874815921</v>
      </c>
      <c r="BB269" s="42">
        <f t="shared" si="80"/>
        <v>274</v>
      </c>
      <c r="BC269" s="38">
        <f t="shared" si="83"/>
        <v>14.952999999999999</v>
      </c>
      <c r="BD269" s="38">
        <f t="shared" si="84"/>
        <v>59.811999999999998</v>
      </c>
      <c r="BE269" s="38">
        <f t="shared" si="85"/>
        <v>3.9249999999999998</v>
      </c>
      <c r="BH269" s="34">
        <v>62.8</v>
      </c>
      <c r="BI269" s="43">
        <v>1.36</v>
      </c>
    </row>
    <row r="270" spans="14:61">
      <c r="N270" s="156" t="s">
        <v>480</v>
      </c>
      <c r="O270" s="136">
        <v>237</v>
      </c>
      <c r="P270" s="137">
        <v>22.8</v>
      </c>
      <c r="Q270" s="137">
        <v>3.74</v>
      </c>
      <c r="R270" s="137">
        <v>18.600000000000001</v>
      </c>
      <c r="S270" s="137">
        <v>5.12</v>
      </c>
      <c r="T270" s="136">
        <v>5.72</v>
      </c>
      <c r="U270" s="163">
        <v>3.0625</v>
      </c>
      <c r="V270" s="136">
        <v>1.81</v>
      </c>
      <c r="W270" s="157" t="s">
        <v>127</v>
      </c>
      <c r="X270" s="35">
        <f t="shared" si="69"/>
        <v>3.358288770053476</v>
      </c>
      <c r="Y270" s="36">
        <f t="shared" si="70"/>
        <v>5.8984501596363668</v>
      </c>
      <c r="Z270" s="135">
        <v>0.24</v>
      </c>
      <c r="AA270" s="136">
        <v>16000</v>
      </c>
      <c r="AB270" s="137">
        <v>1400</v>
      </c>
      <c r="AC270" s="136">
        <v>8.1999999999999993</v>
      </c>
      <c r="AD270" s="136">
        <v>5510</v>
      </c>
      <c r="AE270" s="137">
        <v>594</v>
      </c>
      <c r="AF270" s="136">
        <v>4.82</v>
      </c>
      <c r="AG270" s="138">
        <v>1830</v>
      </c>
      <c r="AH270" s="136">
        <v>927</v>
      </c>
      <c r="AI270" s="138">
        <v>1840</v>
      </c>
      <c r="AJ270" s="136">
        <v>433000</v>
      </c>
      <c r="AK270" s="136">
        <v>82.2</v>
      </c>
      <c r="AL270" s="136">
        <v>1950</v>
      </c>
      <c r="AM270" s="136">
        <v>336</v>
      </c>
      <c r="AN270" s="136">
        <v>916</v>
      </c>
      <c r="AO270" s="164" t="s">
        <v>481</v>
      </c>
      <c r="AP270" s="140" t="s">
        <v>482</v>
      </c>
      <c r="AQ270" s="40">
        <f t="shared" si="71"/>
        <v>204.30251026162162</v>
      </c>
      <c r="AR270" s="41">
        <f t="shared" si="81"/>
        <v>17.68</v>
      </c>
      <c r="AS270" s="37">
        <f t="shared" si="72"/>
        <v>3675.5125220315172</v>
      </c>
      <c r="AT270" s="42">
        <f t="shared" si="73"/>
        <v>91500</v>
      </c>
      <c r="AU270" s="31">
        <f t="shared" si="74"/>
        <v>49000</v>
      </c>
      <c r="AV270" s="31">
        <f t="shared" si="75"/>
        <v>12.243569203791896</v>
      </c>
      <c r="AW270" s="37">
        <f t="shared" si="76"/>
        <v>41774.093759409472</v>
      </c>
      <c r="AX270" s="31">
        <f t="shared" si="77"/>
        <v>204.30251026162162</v>
      </c>
      <c r="AY270" s="42">
        <f t="shared" si="78"/>
        <v>93810.392243317416</v>
      </c>
      <c r="AZ270" s="42">
        <f t="shared" si="82"/>
        <v>58483731.26317326</v>
      </c>
      <c r="BA270" s="42">
        <f t="shared" si="79"/>
        <v>104056.84522860007</v>
      </c>
      <c r="BB270" s="42">
        <f t="shared" si="80"/>
        <v>46350</v>
      </c>
      <c r="BC270" s="38">
        <f t="shared" si="83"/>
        <v>17.080000000000002</v>
      </c>
      <c r="BD270" s="38">
        <f t="shared" si="84"/>
        <v>4.5668449197860967</v>
      </c>
      <c r="BE270" s="38">
        <f t="shared" si="85"/>
        <v>85.272000000000006</v>
      </c>
      <c r="BH270" s="135">
        <v>6.11</v>
      </c>
      <c r="BI270" s="81">
        <v>5.15</v>
      </c>
    </row>
    <row r="271" spans="14:61">
      <c r="N271" s="30" t="s">
        <v>483</v>
      </c>
      <c r="O271" s="40">
        <v>215</v>
      </c>
      <c r="P271" s="128">
        <v>22.4</v>
      </c>
      <c r="Q271" s="128">
        <v>3.07</v>
      </c>
      <c r="R271" s="128">
        <v>17.899999999999999</v>
      </c>
      <c r="S271" s="128">
        <v>4.91</v>
      </c>
      <c r="T271" s="40">
        <v>5.51</v>
      </c>
      <c r="U271" s="132">
        <v>2.75</v>
      </c>
      <c r="V271" s="40">
        <v>1.82</v>
      </c>
      <c r="W271" s="84" t="s">
        <v>127</v>
      </c>
      <c r="X271" s="35">
        <f t="shared" si="69"/>
        <v>4.0977198697068404</v>
      </c>
      <c r="Y271" s="36">
        <f t="shared" si="70"/>
        <v>5.6786607135837928</v>
      </c>
      <c r="Z271" s="34">
        <v>0.26</v>
      </c>
      <c r="AA271" s="40">
        <v>14300</v>
      </c>
      <c r="AB271" s="128">
        <v>1280</v>
      </c>
      <c r="AC271" s="40">
        <v>8.17</v>
      </c>
      <c r="AD271" s="40">
        <v>4720</v>
      </c>
      <c r="AE271" s="128">
        <v>527</v>
      </c>
      <c r="AF271" s="40">
        <v>4.6900000000000004</v>
      </c>
      <c r="AG271" s="41">
        <v>1660</v>
      </c>
      <c r="AH271" s="40">
        <v>816</v>
      </c>
      <c r="AI271" s="41">
        <v>1450</v>
      </c>
      <c r="AJ271" s="40">
        <v>362000</v>
      </c>
      <c r="AK271" s="40">
        <v>78.3</v>
      </c>
      <c r="AL271" s="40">
        <v>1720</v>
      </c>
      <c r="AM271" s="40">
        <v>319</v>
      </c>
      <c r="AN271" s="40">
        <v>830</v>
      </c>
      <c r="AO271" s="134" t="s">
        <v>481</v>
      </c>
      <c r="AP271" s="39" t="s">
        <v>482</v>
      </c>
      <c r="AQ271" s="40">
        <f t="shared" si="71"/>
        <v>198.79227658236627</v>
      </c>
      <c r="AR271" s="41">
        <f t="shared" si="81"/>
        <v>17.489999999999998</v>
      </c>
      <c r="AS271" s="37">
        <f t="shared" si="72"/>
        <v>3303.2154848366067</v>
      </c>
      <c r="AT271" s="42">
        <f t="shared" si="73"/>
        <v>83000</v>
      </c>
      <c r="AU271" s="31">
        <f t="shared" si="74"/>
        <v>44800</v>
      </c>
      <c r="AV271" s="31">
        <f t="shared" si="75"/>
        <v>12.30502332878822</v>
      </c>
      <c r="AW271" s="37">
        <f t="shared" si="76"/>
        <v>38673.630202126398</v>
      </c>
      <c r="AX271" s="31">
        <f t="shared" si="77"/>
        <v>198.79227658236627</v>
      </c>
      <c r="AY271" s="42">
        <f t="shared" si="78"/>
        <v>85254.185236999838</v>
      </c>
      <c r="AZ271" s="42">
        <f t="shared" si="82"/>
        <v>49502246.65872179</v>
      </c>
      <c r="BA271" s="42">
        <f t="shared" si="79"/>
        <v>94286.387946647592</v>
      </c>
      <c r="BB271" s="42">
        <f t="shared" si="80"/>
        <v>40800</v>
      </c>
      <c r="BC271" s="38">
        <f t="shared" si="83"/>
        <v>16.89</v>
      </c>
      <c r="BD271" s="38">
        <f t="shared" si="84"/>
        <v>5.5016286644951142</v>
      </c>
      <c r="BE271" s="38">
        <f t="shared" si="85"/>
        <v>68.767999999999986</v>
      </c>
      <c r="BH271" s="34">
        <v>7.3</v>
      </c>
      <c r="BI271" s="43">
        <v>4.99</v>
      </c>
    </row>
    <row r="272" spans="14:61">
      <c r="N272" s="30" t="s">
        <v>484</v>
      </c>
      <c r="O272" s="40">
        <v>196</v>
      </c>
      <c r="P272" s="128">
        <v>21.6</v>
      </c>
      <c r="Q272" s="128">
        <v>2.83</v>
      </c>
      <c r="R272" s="128">
        <v>17.7</v>
      </c>
      <c r="S272" s="128">
        <v>4.5199999999999996</v>
      </c>
      <c r="T272" s="40">
        <v>5.12</v>
      </c>
      <c r="U272" s="132">
        <v>2.625</v>
      </c>
      <c r="V272" s="40">
        <v>1.95</v>
      </c>
      <c r="W272" s="84" t="s">
        <v>127</v>
      </c>
      <c r="X272" s="35">
        <f t="shared" si="69"/>
        <v>4.4381625441696118</v>
      </c>
      <c r="Y272" s="36">
        <f t="shared" si="70"/>
        <v>5.5647805535075374</v>
      </c>
      <c r="Z272" s="34">
        <v>0.27</v>
      </c>
      <c r="AA272" s="40">
        <v>12400</v>
      </c>
      <c r="AB272" s="128">
        <v>1150</v>
      </c>
      <c r="AC272" s="40">
        <v>7.98</v>
      </c>
      <c r="AD272" s="40">
        <v>4170</v>
      </c>
      <c r="AE272" s="128">
        <v>472</v>
      </c>
      <c r="AF272" s="40">
        <v>4.62</v>
      </c>
      <c r="AG272" s="41">
        <v>1480</v>
      </c>
      <c r="AH272" s="40">
        <v>730</v>
      </c>
      <c r="AI272" s="41">
        <v>1120</v>
      </c>
      <c r="AJ272" s="40">
        <v>306000</v>
      </c>
      <c r="AK272" s="40">
        <v>75.5</v>
      </c>
      <c r="AL272" s="40">
        <v>1510</v>
      </c>
      <c r="AM272" s="40">
        <v>287</v>
      </c>
      <c r="AN272" s="40">
        <v>739</v>
      </c>
      <c r="AO272" s="134" t="s">
        <v>481</v>
      </c>
      <c r="AP272" s="39" t="s">
        <v>482</v>
      </c>
      <c r="AQ272" s="40">
        <f t="shared" si="71"/>
        <v>195.82522767815183</v>
      </c>
      <c r="AR272" s="41">
        <f t="shared" si="81"/>
        <v>17.080000000000002</v>
      </c>
      <c r="AS272" s="37">
        <f t="shared" si="72"/>
        <v>3037.4419210289598</v>
      </c>
      <c r="AT272" s="42">
        <f t="shared" si="73"/>
        <v>74000</v>
      </c>
      <c r="AU272" s="31">
        <f t="shared" si="74"/>
        <v>40250</v>
      </c>
      <c r="AV272" s="31">
        <f t="shared" si="75"/>
        <v>11.877041713251732</v>
      </c>
      <c r="AW272" s="37">
        <f t="shared" si="76"/>
        <v>37081.253551847636</v>
      </c>
      <c r="AX272" s="31">
        <f t="shared" si="77"/>
        <v>195.82522767815183</v>
      </c>
      <c r="AY272" s="42">
        <f t="shared" si="78"/>
        <v>76140.542546913697</v>
      </c>
      <c r="AZ272" s="42">
        <f t="shared" si="82"/>
        <v>42643441.584624782</v>
      </c>
      <c r="BA272" s="42">
        <f t="shared" si="79"/>
        <v>83971.612387417699</v>
      </c>
      <c r="BB272" s="42">
        <f t="shared" si="80"/>
        <v>36500</v>
      </c>
      <c r="BC272" s="38">
        <f t="shared" si="83"/>
        <v>16.48</v>
      </c>
      <c r="BD272" s="38">
        <f t="shared" si="84"/>
        <v>5.8233215547703177</v>
      </c>
      <c r="BE272" s="38">
        <f t="shared" si="85"/>
        <v>61.128000000000007</v>
      </c>
      <c r="BH272" s="34">
        <v>7.6</v>
      </c>
      <c r="BI272" s="43">
        <v>4.92</v>
      </c>
    </row>
    <row r="273" spans="14:61">
      <c r="N273" s="30" t="s">
        <v>485</v>
      </c>
      <c r="O273" s="40">
        <v>178</v>
      </c>
      <c r="P273" s="128">
        <v>20.9</v>
      </c>
      <c r="Q273" s="128">
        <v>2.6</v>
      </c>
      <c r="R273" s="128">
        <v>17.399999999999999</v>
      </c>
      <c r="S273" s="128">
        <v>4.16</v>
      </c>
      <c r="T273" s="40">
        <v>4.76</v>
      </c>
      <c r="U273" s="132">
        <v>2.5</v>
      </c>
      <c r="V273" s="40">
        <v>2.09</v>
      </c>
      <c r="W273" s="84" t="s">
        <v>127</v>
      </c>
      <c r="X273" s="35">
        <f t="shared" si="69"/>
        <v>4.8384615384615373</v>
      </c>
      <c r="Y273" s="36">
        <f t="shared" si="70"/>
        <v>5.4421432429625627</v>
      </c>
      <c r="Z273" s="34">
        <v>0.28999999999999998</v>
      </c>
      <c r="AA273" s="40">
        <v>10800</v>
      </c>
      <c r="AB273" s="128">
        <v>1040</v>
      </c>
      <c r="AC273" s="40">
        <v>7.8</v>
      </c>
      <c r="AD273" s="40">
        <v>3680</v>
      </c>
      <c r="AE273" s="128">
        <v>423</v>
      </c>
      <c r="AF273" s="40">
        <v>4.55</v>
      </c>
      <c r="AG273" s="41">
        <v>1320</v>
      </c>
      <c r="AH273" s="40">
        <v>652</v>
      </c>
      <c r="AI273" s="41">
        <v>869</v>
      </c>
      <c r="AJ273" s="40">
        <v>258000</v>
      </c>
      <c r="AK273" s="40">
        <v>73</v>
      </c>
      <c r="AL273" s="40">
        <v>1320</v>
      </c>
      <c r="AM273" s="40">
        <v>258</v>
      </c>
      <c r="AN273" s="40">
        <v>659</v>
      </c>
      <c r="AO273" s="134" t="s">
        <v>481</v>
      </c>
      <c r="AP273" s="39" t="s">
        <v>482</v>
      </c>
      <c r="AQ273" s="40">
        <f t="shared" si="71"/>
        <v>192.8581787739374</v>
      </c>
      <c r="AR273" s="41">
        <f t="shared" si="81"/>
        <v>16.739999999999998</v>
      </c>
      <c r="AS273" s="37">
        <f t="shared" si="72"/>
        <v>2779.5804681872596</v>
      </c>
      <c r="AT273" s="42">
        <f t="shared" si="73"/>
        <v>66000</v>
      </c>
      <c r="AU273" s="31">
        <f t="shared" si="74"/>
        <v>36400</v>
      </c>
      <c r="AV273" s="31">
        <f t="shared" si="75"/>
        <v>11.44305290179155</v>
      </c>
      <c r="AW273" s="37">
        <f t="shared" si="76"/>
        <v>35414.089790537364</v>
      </c>
      <c r="AX273" s="31">
        <f t="shared" si="77"/>
        <v>192.8581787739374</v>
      </c>
      <c r="AY273" s="42">
        <f t="shared" si="78"/>
        <v>68028.374716985389</v>
      </c>
      <c r="AZ273" s="42">
        <f t="shared" si="82"/>
        <v>36830653.382158861</v>
      </c>
      <c r="BA273" s="42">
        <f t="shared" si="79"/>
        <v>74745.473382742639</v>
      </c>
      <c r="BB273" s="42">
        <f t="shared" si="80"/>
        <v>32600</v>
      </c>
      <c r="BC273" s="38">
        <f t="shared" si="83"/>
        <v>16.14</v>
      </c>
      <c r="BD273" s="38">
        <f t="shared" si="84"/>
        <v>6.2076923076923078</v>
      </c>
      <c r="BE273" s="38">
        <f t="shared" si="85"/>
        <v>54.339999999999996</v>
      </c>
      <c r="BH273" s="34">
        <v>8.1</v>
      </c>
      <c r="BI273" s="43">
        <v>4.8499999999999996</v>
      </c>
    </row>
    <row r="274" spans="14:61">
      <c r="N274" s="30" t="s">
        <v>486</v>
      </c>
      <c r="O274" s="40">
        <v>162</v>
      </c>
      <c r="P274" s="128">
        <v>20.2</v>
      </c>
      <c r="Q274" s="128">
        <v>2.38</v>
      </c>
      <c r="R274" s="128">
        <v>17.2</v>
      </c>
      <c r="S274" s="128">
        <v>3.82</v>
      </c>
      <c r="T274" s="40">
        <v>4.42</v>
      </c>
      <c r="U274" s="132">
        <v>2.375</v>
      </c>
      <c r="V274" s="40">
        <v>2.25</v>
      </c>
      <c r="W274" s="84" t="s">
        <v>127</v>
      </c>
      <c r="X274" s="35">
        <f t="shared" si="69"/>
        <v>5.2773109243697478</v>
      </c>
      <c r="Y274" s="36">
        <f t="shared" si="70"/>
        <v>5.3469828467940479</v>
      </c>
      <c r="Z274" s="34">
        <v>0.31</v>
      </c>
      <c r="AA274" s="40">
        <v>9430</v>
      </c>
      <c r="AB274" s="128">
        <v>931</v>
      </c>
      <c r="AC274" s="40">
        <v>7.63</v>
      </c>
      <c r="AD274" s="40">
        <v>3250</v>
      </c>
      <c r="AE274" s="128">
        <v>378</v>
      </c>
      <c r="AF274" s="40">
        <v>4.49</v>
      </c>
      <c r="AG274" s="41">
        <v>1180</v>
      </c>
      <c r="AH274" s="40">
        <v>583</v>
      </c>
      <c r="AI274" s="41">
        <v>669</v>
      </c>
      <c r="AJ274" s="40">
        <v>219000</v>
      </c>
      <c r="AK274" s="40">
        <v>70.599999999999994</v>
      </c>
      <c r="AL274" s="40">
        <v>1160</v>
      </c>
      <c r="AM274" s="40">
        <v>232</v>
      </c>
      <c r="AN274" s="40">
        <v>587</v>
      </c>
      <c r="AO274" s="134" t="s">
        <v>481</v>
      </c>
      <c r="AP274" s="39" t="s">
        <v>482</v>
      </c>
      <c r="AQ274" s="40">
        <f t="shared" si="71"/>
        <v>190.31499399889648</v>
      </c>
      <c r="AR274" s="41">
        <f t="shared" si="81"/>
        <v>16.38</v>
      </c>
      <c r="AS274" s="37">
        <f t="shared" si="72"/>
        <v>2560.6300816366243</v>
      </c>
      <c r="AT274" s="42">
        <f t="shared" si="73"/>
        <v>59000</v>
      </c>
      <c r="AU274" s="31">
        <f t="shared" si="74"/>
        <v>32585</v>
      </c>
      <c r="AV274" s="31">
        <f t="shared" si="75"/>
        <v>11.144088031910293</v>
      </c>
      <c r="AW274" s="37">
        <f t="shared" si="76"/>
        <v>34138.941529021875</v>
      </c>
      <c r="AX274" s="31">
        <f t="shared" si="77"/>
        <v>190.31499399889648</v>
      </c>
      <c r="AY274" s="42">
        <f t="shared" si="78"/>
        <v>60947.039273618379</v>
      </c>
      <c r="AZ274" s="42">
        <f t="shared" si="82"/>
        <v>31783354.563519366</v>
      </c>
      <c r="BA274" s="42">
        <f t="shared" si="79"/>
        <v>66804.448628552258</v>
      </c>
      <c r="BB274" s="42">
        <f t="shared" si="80"/>
        <v>29150</v>
      </c>
      <c r="BC274" s="38">
        <f t="shared" si="83"/>
        <v>15.78</v>
      </c>
      <c r="BD274" s="38">
        <f t="shared" si="84"/>
        <v>6.6302521008403366</v>
      </c>
      <c r="BE274" s="38">
        <f t="shared" si="85"/>
        <v>48.075999999999993</v>
      </c>
      <c r="BH274" s="34">
        <v>8.5</v>
      </c>
      <c r="BI274" s="43">
        <v>4.79</v>
      </c>
    </row>
    <row r="275" spans="14:61">
      <c r="N275" s="30" t="s">
        <v>487</v>
      </c>
      <c r="O275" s="40">
        <v>147</v>
      </c>
      <c r="P275" s="128">
        <v>19.600000000000001</v>
      </c>
      <c r="Q275" s="128">
        <v>2.19</v>
      </c>
      <c r="R275" s="128">
        <v>17</v>
      </c>
      <c r="S275" s="128">
        <v>3.5</v>
      </c>
      <c r="T275" s="40">
        <v>4.0999999999999996</v>
      </c>
      <c r="U275" s="132">
        <v>2.3125</v>
      </c>
      <c r="V275" s="40">
        <v>2.4300000000000002</v>
      </c>
      <c r="W275" s="84" t="s">
        <v>127</v>
      </c>
      <c r="X275" s="35">
        <f t="shared" si="69"/>
        <v>5.7534246575342474</v>
      </c>
      <c r="Y275" s="36">
        <f t="shared" si="70"/>
        <v>5.2598356553906109</v>
      </c>
      <c r="Z275" s="34">
        <v>0.33</v>
      </c>
      <c r="AA275" s="40">
        <v>8210</v>
      </c>
      <c r="AB275" s="128">
        <v>838</v>
      </c>
      <c r="AC275" s="40">
        <v>7.48</v>
      </c>
      <c r="AD275" s="40">
        <v>2880</v>
      </c>
      <c r="AE275" s="128">
        <v>339</v>
      </c>
      <c r="AF275" s="40">
        <v>4.43</v>
      </c>
      <c r="AG275" s="41">
        <v>1050</v>
      </c>
      <c r="AH275" s="40">
        <v>522</v>
      </c>
      <c r="AI275" s="41">
        <v>514</v>
      </c>
      <c r="AJ275" s="40">
        <v>187000</v>
      </c>
      <c r="AK275" s="40">
        <v>68.5</v>
      </c>
      <c r="AL275" s="40">
        <v>1020</v>
      </c>
      <c r="AM275" s="40">
        <v>209</v>
      </c>
      <c r="AN275" s="40">
        <v>523</v>
      </c>
      <c r="AO275" s="134" t="s">
        <v>481</v>
      </c>
      <c r="AP275" s="39" t="s">
        <v>482</v>
      </c>
      <c r="AQ275" s="40">
        <f t="shared" si="71"/>
        <v>187.77180922385551</v>
      </c>
      <c r="AR275" s="41">
        <f t="shared" si="81"/>
        <v>16.100000000000001</v>
      </c>
      <c r="AS275" s="37">
        <f t="shared" si="72"/>
        <v>2347.8249323014502</v>
      </c>
      <c r="AT275" s="42">
        <f t="shared" si="73"/>
        <v>52500</v>
      </c>
      <c r="AU275" s="31">
        <f t="shared" si="74"/>
        <v>29330</v>
      </c>
      <c r="AV275" s="31">
        <f t="shared" si="75"/>
        <v>10.726588041958852</v>
      </c>
      <c r="AW275" s="37">
        <f t="shared" si="76"/>
        <v>32987.209337540611</v>
      </c>
      <c r="AX275" s="31">
        <f t="shared" si="77"/>
        <v>187.77180922385551</v>
      </c>
      <c r="AY275" s="42">
        <f t="shared" si="78"/>
        <v>54346.816069983026</v>
      </c>
      <c r="AZ275" s="42">
        <f t="shared" si="82"/>
        <v>27643281.424859032</v>
      </c>
      <c r="BA275" s="42">
        <f t="shared" si="79"/>
        <v>59345.696563450911</v>
      </c>
      <c r="BB275" s="42">
        <f t="shared" si="80"/>
        <v>26100</v>
      </c>
      <c r="BC275" s="38">
        <f t="shared" si="83"/>
        <v>15.500000000000002</v>
      </c>
      <c r="BD275" s="38">
        <f t="shared" si="84"/>
        <v>7.0776255707762568</v>
      </c>
      <c r="BE275" s="38">
        <f t="shared" si="85"/>
        <v>42.923999999999999</v>
      </c>
      <c r="BH275" s="34">
        <v>8.9</v>
      </c>
      <c r="BI275" s="43">
        <v>4.7300000000000004</v>
      </c>
    </row>
    <row r="276" spans="14:61">
      <c r="N276" s="30" t="s">
        <v>488</v>
      </c>
      <c r="O276" s="40">
        <v>134</v>
      </c>
      <c r="P276" s="128">
        <v>19</v>
      </c>
      <c r="Q276" s="128">
        <v>2.02</v>
      </c>
      <c r="R276" s="128">
        <v>16.8</v>
      </c>
      <c r="S276" s="128">
        <v>3.21</v>
      </c>
      <c r="T276" s="40">
        <v>3.81</v>
      </c>
      <c r="U276" s="132">
        <v>2.25</v>
      </c>
      <c r="V276" s="40">
        <v>2.62</v>
      </c>
      <c r="W276" s="84" t="s">
        <v>127</v>
      </c>
      <c r="X276" s="35">
        <f t="shared" si="69"/>
        <v>6.2277227722772279</v>
      </c>
      <c r="Y276" s="36">
        <f t="shared" si="70"/>
        <v>5.1705310688933617</v>
      </c>
      <c r="Z276" s="34">
        <v>0.35</v>
      </c>
      <c r="AA276" s="40">
        <v>7190</v>
      </c>
      <c r="AB276" s="128">
        <v>756</v>
      </c>
      <c r="AC276" s="40">
        <v>7.33</v>
      </c>
      <c r="AD276" s="40">
        <v>2560</v>
      </c>
      <c r="AE276" s="128">
        <v>304</v>
      </c>
      <c r="AF276" s="40">
        <v>4.38</v>
      </c>
      <c r="AG276" s="41">
        <v>936</v>
      </c>
      <c r="AH276" s="40">
        <v>468</v>
      </c>
      <c r="AI276" s="41">
        <v>395</v>
      </c>
      <c r="AJ276" s="40">
        <v>160000</v>
      </c>
      <c r="AK276" s="40">
        <v>66.5</v>
      </c>
      <c r="AL276" s="40">
        <v>899</v>
      </c>
      <c r="AM276" s="40">
        <v>188</v>
      </c>
      <c r="AN276" s="40">
        <v>467</v>
      </c>
      <c r="AO276" s="134" t="s">
        <v>481</v>
      </c>
      <c r="AP276" s="39" t="s">
        <v>482</v>
      </c>
      <c r="AQ276" s="40">
        <f t="shared" si="71"/>
        <v>185.65248857798809</v>
      </c>
      <c r="AR276" s="41">
        <f t="shared" si="81"/>
        <v>15.79</v>
      </c>
      <c r="AS276" s="37">
        <f t="shared" si="72"/>
        <v>2151.5322404379253</v>
      </c>
      <c r="AT276" s="42">
        <f t="shared" si="73"/>
        <v>46800</v>
      </c>
      <c r="AU276" s="31">
        <f t="shared" si="74"/>
        <v>26460</v>
      </c>
      <c r="AV276" s="31">
        <f t="shared" si="75"/>
        <v>10.346512791922363</v>
      </c>
      <c r="AW276" s="37">
        <f t="shared" si="76"/>
        <v>31835.461420237309</v>
      </c>
      <c r="AX276" s="31">
        <f t="shared" si="77"/>
        <v>185.65248857798809</v>
      </c>
      <c r="AY276" s="42">
        <f t="shared" si="78"/>
        <v>48559.450248370384</v>
      </c>
      <c r="AZ276" s="42">
        <f t="shared" si="82"/>
        <v>24067608.833699405</v>
      </c>
      <c r="BA276" s="42">
        <f t="shared" si="79"/>
        <v>52809.558398817069</v>
      </c>
      <c r="BB276" s="42">
        <f t="shared" si="80"/>
        <v>23400</v>
      </c>
      <c r="BC276" s="38">
        <f t="shared" si="83"/>
        <v>15.19</v>
      </c>
      <c r="BD276" s="38">
        <f t="shared" si="84"/>
        <v>7.5198019801980198</v>
      </c>
      <c r="BE276" s="38">
        <f t="shared" si="85"/>
        <v>38.380000000000003</v>
      </c>
      <c r="BH276" s="34">
        <v>9.4</v>
      </c>
      <c r="BI276" s="43">
        <v>4.68</v>
      </c>
    </row>
    <row r="277" spans="14:61">
      <c r="N277" s="30" t="s">
        <v>489</v>
      </c>
      <c r="O277" s="40">
        <v>125</v>
      </c>
      <c r="P277" s="128">
        <v>18.7</v>
      </c>
      <c r="Q277" s="128">
        <v>1.88</v>
      </c>
      <c r="R277" s="128">
        <v>16.7</v>
      </c>
      <c r="S277" s="128">
        <v>3.04</v>
      </c>
      <c r="T277" s="40">
        <v>3.63</v>
      </c>
      <c r="U277" s="132">
        <v>2.125</v>
      </c>
      <c r="V277" s="40">
        <v>2.75</v>
      </c>
      <c r="W277" s="84" t="s">
        <v>127</v>
      </c>
      <c r="X277" s="35">
        <f t="shared" si="69"/>
        <v>6.7127659574468082</v>
      </c>
      <c r="Y277" s="36">
        <f t="shared" si="70"/>
        <v>5.1160470753359792</v>
      </c>
      <c r="Z277" s="34">
        <v>0.37</v>
      </c>
      <c r="AA277" s="40">
        <v>6600</v>
      </c>
      <c r="AB277" s="128">
        <v>706</v>
      </c>
      <c r="AC277" s="40">
        <v>7.26</v>
      </c>
      <c r="AD277" s="40">
        <v>2360</v>
      </c>
      <c r="AE277" s="128">
        <v>283</v>
      </c>
      <c r="AF277" s="40">
        <v>4.34</v>
      </c>
      <c r="AG277" s="41">
        <v>869</v>
      </c>
      <c r="AH277" s="40">
        <v>434</v>
      </c>
      <c r="AI277" s="41">
        <v>331</v>
      </c>
      <c r="AJ277" s="40">
        <v>144000</v>
      </c>
      <c r="AK277" s="40">
        <v>65.3</v>
      </c>
      <c r="AL277" s="40">
        <v>827</v>
      </c>
      <c r="AM277" s="40">
        <v>176</v>
      </c>
      <c r="AN277" s="40">
        <v>433</v>
      </c>
      <c r="AO277" s="134" t="s">
        <v>481</v>
      </c>
      <c r="AP277" s="39" t="s">
        <v>490</v>
      </c>
      <c r="AQ277" s="40">
        <f t="shared" si="71"/>
        <v>183.95703206129414</v>
      </c>
      <c r="AR277" s="41">
        <f t="shared" si="81"/>
        <v>15.66</v>
      </c>
      <c r="AS277" s="37">
        <f t="shared" si="72"/>
        <v>2025.4605713197675</v>
      </c>
      <c r="AT277" s="42">
        <f t="shared" si="73"/>
        <v>43450</v>
      </c>
      <c r="AU277" s="31">
        <f t="shared" si="74"/>
        <v>24710</v>
      </c>
      <c r="AV277" s="31">
        <f t="shared" si="75"/>
        <v>10.176467001277729</v>
      </c>
      <c r="AW277" s="37">
        <f t="shared" si="76"/>
        <v>31140.921685919766</v>
      </c>
      <c r="AX277" s="31">
        <f t="shared" si="77"/>
        <v>183.95703206129414</v>
      </c>
      <c r="AY277" s="42">
        <f t="shared" si="78"/>
        <v>45163.279781204816</v>
      </c>
      <c r="AZ277" s="42">
        <f t="shared" si="82"/>
        <v>21985490.710259356</v>
      </c>
      <c r="BA277" s="42">
        <f t="shared" si="79"/>
        <v>48986.830107858004</v>
      </c>
      <c r="BB277" s="42">
        <f t="shared" si="80"/>
        <v>21700</v>
      </c>
      <c r="BC277" s="38">
        <f t="shared" si="83"/>
        <v>15.07</v>
      </c>
      <c r="BD277" s="38">
        <f t="shared" si="84"/>
        <v>8.0159574468085104</v>
      </c>
      <c r="BE277" s="38">
        <f t="shared" si="85"/>
        <v>35.155999999999999</v>
      </c>
      <c r="BH277" s="34">
        <v>10</v>
      </c>
      <c r="BI277" s="43">
        <v>4.6399999999999997</v>
      </c>
    </row>
    <row r="278" spans="14:61">
      <c r="N278" s="30" t="s">
        <v>491</v>
      </c>
      <c r="O278" s="40">
        <v>117</v>
      </c>
      <c r="P278" s="128">
        <v>18.3</v>
      </c>
      <c r="Q278" s="128">
        <v>1.77</v>
      </c>
      <c r="R278" s="128">
        <v>16.600000000000001</v>
      </c>
      <c r="S278" s="128">
        <v>2.85</v>
      </c>
      <c r="T278" s="40">
        <v>3.44</v>
      </c>
      <c r="U278" s="132">
        <v>2.125</v>
      </c>
      <c r="V278" s="40">
        <v>2.92</v>
      </c>
      <c r="W278" s="84" t="s">
        <v>127</v>
      </c>
      <c r="X278" s="35">
        <f t="shared" si="69"/>
        <v>7.1186440677966107</v>
      </c>
      <c r="Y278" s="36">
        <f t="shared" si="70"/>
        <v>5.0550702028851751</v>
      </c>
      <c r="Z278" s="34">
        <v>0.39</v>
      </c>
      <c r="AA278" s="40">
        <v>6000</v>
      </c>
      <c r="AB278" s="128">
        <v>656</v>
      </c>
      <c r="AC278" s="40">
        <v>7.16</v>
      </c>
      <c r="AD278" s="40">
        <v>2170</v>
      </c>
      <c r="AE278" s="128">
        <v>262</v>
      </c>
      <c r="AF278" s="40">
        <v>4.3099999999999996</v>
      </c>
      <c r="AG278" s="41">
        <v>801</v>
      </c>
      <c r="AH278" s="40">
        <v>402</v>
      </c>
      <c r="AI278" s="41">
        <v>273</v>
      </c>
      <c r="AJ278" s="40">
        <v>129000</v>
      </c>
      <c r="AK278" s="40">
        <v>64.099999999999994</v>
      </c>
      <c r="AL278" s="40">
        <v>756</v>
      </c>
      <c r="AM278" s="40">
        <v>163</v>
      </c>
      <c r="AN278" s="40">
        <v>400</v>
      </c>
      <c r="AO278" s="134" t="s">
        <v>481</v>
      </c>
      <c r="AP278" s="39" t="s">
        <v>490</v>
      </c>
      <c r="AQ278" s="40">
        <f t="shared" si="71"/>
        <v>182.68543967377366</v>
      </c>
      <c r="AR278" s="41">
        <f t="shared" si="81"/>
        <v>15.450000000000001</v>
      </c>
      <c r="AS278" s="37">
        <f t="shared" si="72"/>
        <v>1898.9124635617836</v>
      </c>
      <c r="AT278" s="42">
        <f t="shared" si="73"/>
        <v>40050</v>
      </c>
      <c r="AU278" s="31">
        <f t="shared" si="74"/>
        <v>22960</v>
      </c>
      <c r="AV278" s="31">
        <f t="shared" si="75"/>
        <v>9.9578900472523877</v>
      </c>
      <c r="AW278" s="37">
        <f t="shared" si="76"/>
        <v>30377.666641877291</v>
      </c>
      <c r="AX278" s="31">
        <f t="shared" si="77"/>
        <v>182.68543967377366</v>
      </c>
      <c r="AY278" s="42">
        <f t="shared" si="78"/>
        <v>41713.818436768262</v>
      </c>
      <c r="AZ278" s="42">
        <f t="shared" si="82"/>
        <v>19927749.317071501</v>
      </c>
      <c r="BA278" s="42">
        <f t="shared" si="79"/>
        <v>45099.329057806477</v>
      </c>
      <c r="BB278" s="42">
        <f t="shared" si="80"/>
        <v>20100</v>
      </c>
      <c r="BC278" s="38">
        <f t="shared" si="83"/>
        <v>14.860000000000001</v>
      </c>
      <c r="BD278" s="38">
        <f t="shared" si="84"/>
        <v>8.3954802259887007</v>
      </c>
      <c r="BE278" s="38">
        <f t="shared" si="85"/>
        <v>32.390999999999998</v>
      </c>
      <c r="BH278" s="34">
        <v>10.3</v>
      </c>
      <c r="BI278" s="43">
        <v>4.6100000000000003</v>
      </c>
    </row>
    <row r="279" spans="14:61">
      <c r="N279" s="30" t="s">
        <v>492</v>
      </c>
      <c r="O279" s="40">
        <v>109</v>
      </c>
      <c r="P279" s="128">
        <v>17.899999999999999</v>
      </c>
      <c r="Q279" s="128">
        <v>1.66</v>
      </c>
      <c r="R279" s="128">
        <v>16.5</v>
      </c>
      <c r="S279" s="128">
        <v>2.66</v>
      </c>
      <c r="T279" s="40">
        <v>3.26</v>
      </c>
      <c r="U279" s="132">
        <v>2.0625</v>
      </c>
      <c r="V279" s="40">
        <v>3.1</v>
      </c>
      <c r="W279" s="84" t="s">
        <v>127</v>
      </c>
      <c r="X279" s="35">
        <f t="shared" si="69"/>
        <v>7.5783132530120474</v>
      </c>
      <c r="Y279" s="36">
        <f t="shared" si="70"/>
        <v>4.9981545193871817</v>
      </c>
      <c r="Z279" s="34">
        <v>0.41</v>
      </c>
      <c r="AA279" s="40">
        <v>5440</v>
      </c>
      <c r="AB279" s="128">
        <v>607</v>
      </c>
      <c r="AC279" s="40">
        <v>7.07</v>
      </c>
      <c r="AD279" s="40">
        <v>1990</v>
      </c>
      <c r="AE279" s="128">
        <v>241</v>
      </c>
      <c r="AF279" s="40">
        <v>4.2699999999999996</v>
      </c>
      <c r="AG279" s="41">
        <v>736</v>
      </c>
      <c r="AH279" s="40">
        <v>370</v>
      </c>
      <c r="AI279" s="41">
        <v>222</v>
      </c>
      <c r="AJ279" s="40">
        <v>116000</v>
      </c>
      <c r="AK279" s="40">
        <v>62.9</v>
      </c>
      <c r="AL279" s="40">
        <v>689</v>
      </c>
      <c r="AM279" s="40">
        <v>150</v>
      </c>
      <c r="AN279" s="40">
        <v>367</v>
      </c>
      <c r="AO279" s="134" t="s">
        <v>481</v>
      </c>
      <c r="AP279" s="39" t="s">
        <v>490</v>
      </c>
      <c r="AQ279" s="40">
        <f t="shared" si="71"/>
        <v>180.98998315707971</v>
      </c>
      <c r="AR279" s="41">
        <f t="shared" si="81"/>
        <v>15.239999999999998</v>
      </c>
      <c r="AS279" s="37">
        <f t="shared" si="72"/>
        <v>1772.9690872468746</v>
      </c>
      <c r="AT279" s="42">
        <f t="shared" si="73"/>
        <v>36800</v>
      </c>
      <c r="AU279" s="31">
        <f t="shared" si="74"/>
        <v>21245</v>
      </c>
      <c r="AV279" s="31">
        <f t="shared" si="75"/>
        <v>9.7708568912991378</v>
      </c>
      <c r="AW279" s="37">
        <f t="shared" si="76"/>
        <v>29671.631863901377</v>
      </c>
      <c r="AX279" s="31">
        <f t="shared" si="77"/>
        <v>180.98998315707971</v>
      </c>
      <c r="AY279" s="42">
        <f t="shared" si="78"/>
        <v>38416.001856682204</v>
      </c>
      <c r="AZ279" s="42">
        <f t="shared" si="82"/>
        <v>18010680.541388135</v>
      </c>
      <c r="BA279" s="42">
        <f t="shared" si="79"/>
        <v>41395.805353667623</v>
      </c>
      <c r="BB279" s="42">
        <f t="shared" si="80"/>
        <v>18500</v>
      </c>
      <c r="BC279" s="38">
        <f t="shared" si="83"/>
        <v>14.639999999999999</v>
      </c>
      <c r="BD279" s="38">
        <f t="shared" si="84"/>
        <v>8.8192771084337345</v>
      </c>
      <c r="BE279" s="38">
        <f t="shared" si="85"/>
        <v>29.713999999999995</v>
      </c>
      <c r="BH279" s="34">
        <v>10.8</v>
      </c>
      <c r="BI279" s="43">
        <v>4.57</v>
      </c>
    </row>
    <row r="280" spans="14:61">
      <c r="N280" s="30" t="s">
        <v>493</v>
      </c>
      <c r="O280" s="40">
        <v>101</v>
      </c>
      <c r="P280" s="128">
        <v>17.5</v>
      </c>
      <c r="Q280" s="128">
        <v>1.54</v>
      </c>
      <c r="R280" s="128">
        <v>16.399999999999999</v>
      </c>
      <c r="S280" s="128">
        <v>2.4700000000000002</v>
      </c>
      <c r="T280" s="40">
        <v>3.07</v>
      </c>
      <c r="U280" s="129">
        <v>2</v>
      </c>
      <c r="V280" s="40">
        <v>3.31</v>
      </c>
      <c r="W280" s="84" t="s">
        <v>127</v>
      </c>
      <c r="X280" s="35">
        <f t="shared" si="69"/>
        <v>8.1558441558441555</v>
      </c>
      <c r="Y280" s="36">
        <f t="shared" si="70"/>
        <v>4.9372677568900194</v>
      </c>
      <c r="Z280" s="34">
        <v>0.43</v>
      </c>
      <c r="AA280" s="40">
        <v>4900</v>
      </c>
      <c r="AB280" s="128">
        <v>558</v>
      </c>
      <c r="AC280" s="40">
        <v>6.98</v>
      </c>
      <c r="AD280" s="40">
        <v>1810</v>
      </c>
      <c r="AE280" s="128">
        <v>221</v>
      </c>
      <c r="AF280" s="40">
        <v>4.24</v>
      </c>
      <c r="AG280" s="41">
        <v>672</v>
      </c>
      <c r="AH280" s="40">
        <v>338</v>
      </c>
      <c r="AI280" s="41">
        <v>178</v>
      </c>
      <c r="AJ280" s="40">
        <v>103000</v>
      </c>
      <c r="AK280" s="40">
        <v>61.6</v>
      </c>
      <c r="AL280" s="40">
        <v>623</v>
      </c>
      <c r="AM280" s="40">
        <v>138</v>
      </c>
      <c r="AN280" s="40">
        <v>335</v>
      </c>
      <c r="AO280" s="134" t="s">
        <v>481</v>
      </c>
      <c r="AP280" s="39" t="s">
        <v>490</v>
      </c>
      <c r="AQ280" s="40">
        <f t="shared" si="71"/>
        <v>179.71839076955928</v>
      </c>
      <c r="AR280" s="41">
        <f t="shared" si="81"/>
        <v>15.03</v>
      </c>
      <c r="AS280" s="37">
        <f t="shared" si="72"/>
        <v>1647.9981009703993</v>
      </c>
      <c r="AT280" s="42">
        <f t="shared" si="73"/>
        <v>33600</v>
      </c>
      <c r="AU280" s="31">
        <f t="shared" si="74"/>
        <v>19530</v>
      </c>
      <c r="AV280" s="31">
        <f t="shared" si="75"/>
        <v>9.5826428045344461</v>
      </c>
      <c r="AW280" s="37">
        <f t="shared" si="76"/>
        <v>28928.833986516856</v>
      </c>
      <c r="AX280" s="31">
        <f t="shared" si="77"/>
        <v>179.71839076955928</v>
      </c>
      <c r="AY280" s="42">
        <f t="shared" si="78"/>
        <v>35172.687916399693</v>
      </c>
      <c r="AZ280" s="42">
        <f t="shared" si="82"/>
        <v>16142289.364476405</v>
      </c>
      <c r="BA280" s="42">
        <f t="shared" si="79"/>
        <v>37757.054408621247</v>
      </c>
      <c r="BB280" s="42">
        <f t="shared" si="80"/>
        <v>16900</v>
      </c>
      <c r="BC280" s="38">
        <f t="shared" si="83"/>
        <v>14.43</v>
      </c>
      <c r="BD280" s="38">
        <f t="shared" si="84"/>
        <v>9.370129870129869</v>
      </c>
      <c r="BE280" s="38">
        <f t="shared" si="85"/>
        <v>26.95</v>
      </c>
      <c r="BH280" s="34">
        <v>11.4</v>
      </c>
      <c r="BI280" s="43">
        <v>4.54</v>
      </c>
    </row>
    <row r="281" spans="14:61">
      <c r="N281" s="30" t="s">
        <v>494</v>
      </c>
      <c r="O281" s="40">
        <v>91.4</v>
      </c>
      <c r="P281" s="128">
        <v>17.100000000000001</v>
      </c>
      <c r="Q281" s="128">
        <v>1.41</v>
      </c>
      <c r="R281" s="128">
        <v>16.2</v>
      </c>
      <c r="S281" s="128">
        <v>2.2599999999999998</v>
      </c>
      <c r="T281" s="40">
        <v>2.86</v>
      </c>
      <c r="U281" s="132">
        <v>1.9375</v>
      </c>
      <c r="V281" s="40">
        <v>3.59</v>
      </c>
      <c r="W281" s="84" t="s">
        <v>127</v>
      </c>
      <c r="X281" s="35">
        <f t="shared" si="69"/>
        <v>8.921985815602838</v>
      </c>
      <c r="Y281" s="36">
        <f t="shared" si="70"/>
        <v>4.8589186975180914</v>
      </c>
      <c r="Z281" s="34">
        <v>0.47</v>
      </c>
      <c r="AA281" s="40">
        <v>4330</v>
      </c>
      <c r="AB281" s="128">
        <v>506</v>
      </c>
      <c r="AC281" s="40">
        <v>6.88</v>
      </c>
      <c r="AD281" s="40">
        <v>1610</v>
      </c>
      <c r="AE281" s="128">
        <v>199</v>
      </c>
      <c r="AF281" s="40">
        <v>4.2</v>
      </c>
      <c r="AG281" s="41">
        <v>603</v>
      </c>
      <c r="AH281" s="40">
        <v>304</v>
      </c>
      <c r="AI281" s="41">
        <v>136</v>
      </c>
      <c r="AJ281" s="40">
        <v>88900</v>
      </c>
      <c r="AK281" s="40">
        <v>60.3</v>
      </c>
      <c r="AL281" s="40">
        <v>553</v>
      </c>
      <c r="AM281" s="40">
        <v>124</v>
      </c>
      <c r="AN281" s="40">
        <v>301</v>
      </c>
      <c r="AO281" s="134" t="s">
        <v>481</v>
      </c>
      <c r="AP281" s="39" t="s">
        <v>490</v>
      </c>
      <c r="AQ281" s="40">
        <f t="shared" si="71"/>
        <v>178.0229342528653</v>
      </c>
      <c r="AR281" s="41">
        <f t="shared" si="81"/>
        <v>14.840000000000002</v>
      </c>
      <c r="AS281" s="37">
        <f t="shared" si="72"/>
        <v>1499.7123348805178</v>
      </c>
      <c r="AT281" s="42">
        <f t="shared" si="73"/>
        <v>30150</v>
      </c>
      <c r="AU281" s="31">
        <f t="shared" si="74"/>
        <v>17710</v>
      </c>
      <c r="AV281" s="31">
        <f t="shared" si="75"/>
        <v>9.4121962346769301</v>
      </c>
      <c r="AW281" s="37">
        <f t="shared" si="76"/>
        <v>27990.884934056485</v>
      </c>
      <c r="AX281" s="31">
        <f t="shared" si="77"/>
        <v>178.0229342528653</v>
      </c>
      <c r="AY281" s="42">
        <f t="shared" si="78"/>
        <v>31678.756530199997</v>
      </c>
      <c r="AZ281" s="42">
        <f t="shared" si="82"/>
        <v>14163387.776632581</v>
      </c>
      <c r="BA281" s="42">
        <f t="shared" si="79"/>
        <v>33825.462462206699</v>
      </c>
      <c r="BB281" s="42">
        <f t="shared" si="80"/>
        <v>15200</v>
      </c>
      <c r="BC281" s="38">
        <f t="shared" si="83"/>
        <v>14.240000000000002</v>
      </c>
      <c r="BD281" s="38">
        <f t="shared" si="84"/>
        <v>10.099290780141846</v>
      </c>
      <c r="BE281" s="38">
        <f t="shared" si="85"/>
        <v>24.111000000000001</v>
      </c>
      <c r="BH281" s="34">
        <v>12.1</v>
      </c>
      <c r="BI281" s="43">
        <v>4.5</v>
      </c>
    </row>
    <row r="282" spans="14:61">
      <c r="N282" s="30" t="s">
        <v>495</v>
      </c>
      <c r="O282" s="40">
        <v>83.3</v>
      </c>
      <c r="P282" s="128">
        <v>16.7</v>
      </c>
      <c r="Q282" s="128">
        <v>1.29</v>
      </c>
      <c r="R282" s="128">
        <v>16.100000000000001</v>
      </c>
      <c r="S282" s="128">
        <v>2.0699999999999998</v>
      </c>
      <c r="T282" s="40">
        <v>2.67</v>
      </c>
      <c r="U282" s="132">
        <v>1.875</v>
      </c>
      <c r="V282" s="40">
        <v>3.89</v>
      </c>
      <c r="W282" s="84" t="s">
        <v>127</v>
      </c>
      <c r="X282" s="35">
        <f t="shared" si="69"/>
        <v>9.7364341085271313</v>
      </c>
      <c r="Y282" s="36">
        <f t="shared" si="70"/>
        <v>4.7905135014780136</v>
      </c>
      <c r="Z282" s="34">
        <v>0.5</v>
      </c>
      <c r="AA282" s="40">
        <v>3840</v>
      </c>
      <c r="AB282" s="128">
        <v>459</v>
      </c>
      <c r="AC282" s="40">
        <v>6.79</v>
      </c>
      <c r="AD282" s="40">
        <v>1440</v>
      </c>
      <c r="AE282" s="128">
        <v>179</v>
      </c>
      <c r="AF282" s="40">
        <v>4.17</v>
      </c>
      <c r="AG282" s="41">
        <v>542</v>
      </c>
      <c r="AH282" s="40">
        <v>274</v>
      </c>
      <c r="AI282" s="41">
        <v>104</v>
      </c>
      <c r="AJ282" s="40">
        <v>77500</v>
      </c>
      <c r="AK282" s="40">
        <v>59.1</v>
      </c>
      <c r="AL282" s="40">
        <v>493</v>
      </c>
      <c r="AM282" s="40">
        <v>113</v>
      </c>
      <c r="AN282" s="40">
        <v>270</v>
      </c>
      <c r="AO282" s="134" t="s">
        <v>481</v>
      </c>
      <c r="AP282" s="39" t="s">
        <v>490</v>
      </c>
      <c r="AQ282" s="40">
        <f t="shared" si="71"/>
        <v>176.75134186534484</v>
      </c>
      <c r="AR282" s="41">
        <f t="shared" si="81"/>
        <v>14.629999999999999</v>
      </c>
      <c r="AS282" s="37">
        <f t="shared" si="72"/>
        <v>1369.130452823247</v>
      </c>
      <c r="AT282" s="42">
        <f t="shared" si="73"/>
        <v>27100</v>
      </c>
      <c r="AU282" s="31">
        <f t="shared" si="74"/>
        <v>16065</v>
      </c>
      <c r="AV282" s="31">
        <f t="shared" si="75"/>
        <v>9.2546069438729024</v>
      </c>
      <c r="AW282" s="37">
        <f t="shared" si="76"/>
        <v>27184.806971996062</v>
      </c>
      <c r="AX282" s="31">
        <f t="shared" si="77"/>
        <v>176.75134186534484</v>
      </c>
      <c r="AY282" s="42">
        <f t="shared" si="78"/>
        <v>28591.392327441456</v>
      </c>
      <c r="AZ282" s="42">
        <f t="shared" si="82"/>
        <v>12477826.400146192</v>
      </c>
      <c r="BA282" s="42">
        <f t="shared" si="79"/>
        <v>30360.347931708275</v>
      </c>
      <c r="BB282" s="42">
        <f t="shared" si="80"/>
        <v>13700</v>
      </c>
      <c r="BC282" s="38">
        <f t="shared" si="83"/>
        <v>14.03</v>
      </c>
      <c r="BD282" s="38">
        <f t="shared" si="84"/>
        <v>10.875968992248062</v>
      </c>
      <c r="BE282" s="38">
        <f t="shared" si="85"/>
        <v>21.542999999999999</v>
      </c>
      <c r="BH282" s="34">
        <v>13</v>
      </c>
      <c r="BI282" s="43">
        <v>4.46</v>
      </c>
    </row>
    <row r="283" spans="14:61">
      <c r="N283" s="30" t="s">
        <v>496</v>
      </c>
      <c r="O283" s="40">
        <v>75.599999999999994</v>
      </c>
      <c r="P283" s="128">
        <v>16.399999999999999</v>
      </c>
      <c r="Q283" s="128">
        <v>1.18</v>
      </c>
      <c r="R283" s="128">
        <v>16</v>
      </c>
      <c r="S283" s="128">
        <v>1.89</v>
      </c>
      <c r="T283" s="40">
        <v>2.4900000000000002</v>
      </c>
      <c r="U283" s="132">
        <v>1.8125</v>
      </c>
      <c r="V283" s="40">
        <v>4.2300000000000004</v>
      </c>
      <c r="W283" s="84" t="s">
        <v>127</v>
      </c>
      <c r="X283" s="35">
        <f t="shared" si="69"/>
        <v>10.694915254237287</v>
      </c>
      <c r="Y283" s="36">
        <f t="shared" si="70"/>
        <v>4.7488616264309016</v>
      </c>
      <c r="Z283" s="34">
        <v>0.54</v>
      </c>
      <c r="AA283" s="40">
        <v>3400</v>
      </c>
      <c r="AB283" s="128">
        <v>415</v>
      </c>
      <c r="AC283" s="40">
        <v>6.71</v>
      </c>
      <c r="AD283" s="40">
        <v>1290</v>
      </c>
      <c r="AE283" s="128">
        <v>161</v>
      </c>
      <c r="AF283" s="40">
        <v>4.13</v>
      </c>
      <c r="AG283" s="41">
        <v>487</v>
      </c>
      <c r="AH283" s="40">
        <v>246</v>
      </c>
      <c r="AI283" s="41">
        <v>79.099999999999994</v>
      </c>
      <c r="AJ283" s="40">
        <v>67700</v>
      </c>
      <c r="AK283" s="40">
        <v>57.9</v>
      </c>
      <c r="AL283" s="40">
        <v>438</v>
      </c>
      <c r="AM283" s="40">
        <v>101</v>
      </c>
      <c r="AN283" s="40">
        <v>242</v>
      </c>
      <c r="AO283" s="134" t="s">
        <v>481</v>
      </c>
      <c r="AP283" s="39" t="s">
        <v>490</v>
      </c>
      <c r="AQ283" s="40">
        <f t="shared" si="71"/>
        <v>175.05588534865086</v>
      </c>
      <c r="AR283" s="41">
        <f t="shared" si="81"/>
        <v>14.509999999999998</v>
      </c>
      <c r="AS283" s="37">
        <f t="shared" si="72"/>
        <v>1252.3714001539304</v>
      </c>
      <c r="AT283" s="42">
        <f t="shared" si="73"/>
        <v>24350</v>
      </c>
      <c r="AU283" s="31">
        <f t="shared" si="74"/>
        <v>14525</v>
      </c>
      <c r="AV283" s="31">
        <f t="shared" si="75"/>
        <v>9.1198909372207737</v>
      </c>
      <c r="AW283" s="37">
        <f t="shared" si="76"/>
        <v>26691.001527111435</v>
      </c>
      <c r="AX283" s="31">
        <f t="shared" si="77"/>
        <v>175.05588534865086</v>
      </c>
      <c r="AY283" s="42">
        <f t="shared" si="78"/>
        <v>25804.220283677674</v>
      </c>
      <c r="AZ283" s="42">
        <f t="shared" si="82"/>
        <v>11076765.633751245</v>
      </c>
      <c r="BA283" s="42">
        <f t="shared" si="79"/>
        <v>27252.847161670485</v>
      </c>
      <c r="BB283" s="42">
        <f t="shared" si="80"/>
        <v>12300</v>
      </c>
      <c r="BC283" s="38">
        <f t="shared" si="83"/>
        <v>13.909999999999998</v>
      </c>
      <c r="BD283" s="38">
        <f t="shared" si="84"/>
        <v>11.788135593220339</v>
      </c>
      <c r="BE283" s="38">
        <f t="shared" si="85"/>
        <v>19.351999999999997</v>
      </c>
      <c r="BH283" s="34">
        <v>13.9</v>
      </c>
      <c r="BI283" s="43">
        <v>4.43</v>
      </c>
    </row>
    <row r="284" spans="14:61">
      <c r="N284" s="30" t="s">
        <v>497</v>
      </c>
      <c r="O284" s="40">
        <v>68.5</v>
      </c>
      <c r="P284" s="128">
        <v>16</v>
      </c>
      <c r="Q284" s="128">
        <v>1.07</v>
      </c>
      <c r="R284" s="128">
        <v>15.9</v>
      </c>
      <c r="S284" s="128">
        <v>1.72</v>
      </c>
      <c r="T284" s="40">
        <v>2.3199999999999998</v>
      </c>
      <c r="U284" s="132">
        <v>1.75</v>
      </c>
      <c r="V284" s="40">
        <v>4.62</v>
      </c>
      <c r="W284" s="84" t="s">
        <v>127</v>
      </c>
      <c r="X284" s="35">
        <f t="shared" si="69"/>
        <v>11.738317757009346</v>
      </c>
      <c r="Y284" s="36">
        <f t="shared" si="70"/>
        <v>4.6793161893592954</v>
      </c>
      <c r="Z284" s="34">
        <v>0.59</v>
      </c>
      <c r="AA284" s="40">
        <v>3010</v>
      </c>
      <c r="AB284" s="128">
        <v>375</v>
      </c>
      <c r="AC284" s="40">
        <v>6.63</v>
      </c>
      <c r="AD284" s="40">
        <v>1150</v>
      </c>
      <c r="AE284" s="128">
        <v>145</v>
      </c>
      <c r="AF284" s="40">
        <v>4.0999999999999996</v>
      </c>
      <c r="AG284" s="41">
        <v>436</v>
      </c>
      <c r="AH284" s="40">
        <v>221</v>
      </c>
      <c r="AI284" s="41">
        <v>59.5</v>
      </c>
      <c r="AJ284" s="40">
        <v>59000</v>
      </c>
      <c r="AK284" s="40">
        <v>56.9</v>
      </c>
      <c r="AL284" s="40">
        <v>389</v>
      </c>
      <c r="AM284" s="40">
        <v>91.3</v>
      </c>
      <c r="AN284" s="40">
        <v>217</v>
      </c>
      <c r="AO284" s="134" t="s">
        <v>481</v>
      </c>
      <c r="AP284" s="39" t="s">
        <v>490</v>
      </c>
      <c r="AQ284" s="40">
        <f t="shared" si="71"/>
        <v>173.7842929611304</v>
      </c>
      <c r="AR284" s="41">
        <f t="shared" si="81"/>
        <v>14.28</v>
      </c>
      <c r="AS284" s="37">
        <f t="shared" si="72"/>
        <v>1138.0109409499366</v>
      </c>
      <c r="AT284" s="42">
        <f t="shared" si="73"/>
        <v>21800</v>
      </c>
      <c r="AU284" s="31">
        <f t="shared" si="74"/>
        <v>13125</v>
      </c>
      <c r="AV284" s="31">
        <f t="shared" si="75"/>
        <v>8.9968473886242446</v>
      </c>
      <c r="AW284" s="37">
        <f t="shared" si="76"/>
        <v>25896.705399047481</v>
      </c>
      <c r="AX284" s="31">
        <f t="shared" si="77"/>
        <v>173.7842929611304</v>
      </c>
      <c r="AY284" s="42">
        <f t="shared" si="78"/>
        <v>23223.159943048719</v>
      </c>
      <c r="AZ284" s="42">
        <f t="shared" si="82"/>
        <v>9711264.5246428046</v>
      </c>
      <c r="BA284" s="42">
        <f t="shared" si="79"/>
        <v>24363.073702543661</v>
      </c>
      <c r="BB284" s="42">
        <f t="shared" si="80"/>
        <v>11050</v>
      </c>
      <c r="BC284" s="38">
        <f t="shared" si="83"/>
        <v>13.68</v>
      </c>
      <c r="BD284" s="38">
        <f t="shared" si="84"/>
        <v>12.785046728971961</v>
      </c>
      <c r="BE284" s="38">
        <f t="shared" si="85"/>
        <v>17.12</v>
      </c>
      <c r="BH284" s="34">
        <v>15</v>
      </c>
      <c r="BI284" s="43">
        <v>4.4000000000000004</v>
      </c>
    </row>
    <row r="285" spans="14:61">
      <c r="N285" s="30" t="s">
        <v>498</v>
      </c>
      <c r="O285" s="40">
        <v>62</v>
      </c>
      <c r="P285" s="128">
        <v>15.7</v>
      </c>
      <c r="Q285" s="128">
        <v>0.98</v>
      </c>
      <c r="R285" s="128">
        <v>15.8</v>
      </c>
      <c r="S285" s="128">
        <v>1.56</v>
      </c>
      <c r="T285" s="40">
        <v>2.16</v>
      </c>
      <c r="U285" s="132">
        <v>1.6875</v>
      </c>
      <c r="V285" s="40">
        <v>5.0599999999999996</v>
      </c>
      <c r="W285" s="84" t="s">
        <v>127</v>
      </c>
      <c r="X285" s="35">
        <f t="shared" si="69"/>
        <v>12.836734693877549</v>
      </c>
      <c r="Y285" s="36">
        <f t="shared" si="70"/>
        <v>4.6416241291398226</v>
      </c>
      <c r="Z285" s="34">
        <v>0.64</v>
      </c>
      <c r="AA285" s="40">
        <v>2660</v>
      </c>
      <c r="AB285" s="128">
        <v>338</v>
      </c>
      <c r="AC285" s="40">
        <v>6.55</v>
      </c>
      <c r="AD285" s="40">
        <v>1030</v>
      </c>
      <c r="AE285" s="128">
        <v>130</v>
      </c>
      <c r="AF285" s="40">
        <v>4.07</v>
      </c>
      <c r="AG285" s="41">
        <v>390</v>
      </c>
      <c r="AH285" s="40">
        <v>198</v>
      </c>
      <c r="AI285" s="41">
        <v>44.6</v>
      </c>
      <c r="AJ285" s="40">
        <v>51600</v>
      </c>
      <c r="AK285" s="40">
        <v>55.9</v>
      </c>
      <c r="AL285" s="40">
        <v>345</v>
      </c>
      <c r="AM285" s="40">
        <v>81.8</v>
      </c>
      <c r="AN285" s="40">
        <v>194</v>
      </c>
      <c r="AO285" s="134" t="s">
        <v>481</v>
      </c>
      <c r="AP285" s="39" t="s">
        <v>490</v>
      </c>
      <c r="AQ285" s="40">
        <f t="shared" si="71"/>
        <v>172.51270057360998</v>
      </c>
      <c r="AR285" s="41">
        <f t="shared" si="81"/>
        <v>14.139999999999999</v>
      </c>
      <c r="AS285" s="37">
        <f t="shared" si="72"/>
        <v>1038.5492583153618</v>
      </c>
      <c r="AT285" s="42">
        <f t="shared" si="73"/>
        <v>19500</v>
      </c>
      <c r="AU285" s="31">
        <f t="shared" si="74"/>
        <v>11830</v>
      </c>
      <c r="AV285" s="31">
        <f t="shared" si="75"/>
        <v>8.856439063034518</v>
      </c>
      <c r="AW285" s="37">
        <f t="shared" si="76"/>
        <v>25463.382045592924</v>
      </c>
      <c r="AX285" s="31">
        <f t="shared" si="77"/>
        <v>172.51270057360998</v>
      </c>
      <c r="AY285" s="42">
        <f t="shared" si="78"/>
        <v>20889.687770846358</v>
      </c>
      <c r="AZ285" s="42">
        <f t="shared" si="82"/>
        <v>8606623.1314104088</v>
      </c>
      <c r="BA285" s="42">
        <f t="shared" si="79"/>
        <v>21766.141244785002</v>
      </c>
      <c r="BB285" s="42">
        <f t="shared" si="80"/>
        <v>9900</v>
      </c>
      <c r="BC285" s="38">
        <f t="shared" si="83"/>
        <v>13.54</v>
      </c>
      <c r="BD285" s="38">
        <f t="shared" si="84"/>
        <v>13.816326530612244</v>
      </c>
      <c r="BE285" s="38">
        <f t="shared" si="85"/>
        <v>15.385999999999999</v>
      </c>
      <c r="BH285" s="34">
        <v>16</v>
      </c>
      <c r="BI285" s="43">
        <v>4.37</v>
      </c>
    </row>
    <row r="286" spans="14:61">
      <c r="N286" s="30" t="s">
        <v>499</v>
      </c>
      <c r="O286" s="40">
        <v>56.8</v>
      </c>
      <c r="P286" s="128">
        <v>15.5</v>
      </c>
      <c r="Q286" s="128">
        <v>0.89</v>
      </c>
      <c r="R286" s="128">
        <v>15.7</v>
      </c>
      <c r="S286" s="128">
        <v>1.44</v>
      </c>
      <c r="T286" s="40">
        <v>2.04</v>
      </c>
      <c r="U286" s="145">
        <v>1.6875</v>
      </c>
      <c r="V286" s="40">
        <v>5.45</v>
      </c>
      <c r="W286" s="84" t="s">
        <v>127</v>
      </c>
      <c r="X286" s="35">
        <f t="shared" si="69"/>
        <v>14.179775280898877</v>
      </c>
      <c r="Y286" s="36">
        <f t="shared" si="70"/>
        <v>4.594853362116667</v>
      </c>
      <c r="Z286" s="34">
        <v>0.68</v>
      </c>
      <c r="AA286" s="40">
        <v>2400</v>
      </c>
      <c r="AB286" s="128">
        <v>310</v>
      </c>
      <c r="AC286" s="40">
        <v>6.5</v>
      </c>
      <c r="AD286" s="40">
        <v>931</v>
      </c>
      <c r="AE286" s="128">
        <v>119</v>
      </c>
      <c r="AF286" s="40">
        <v>4.05</v>
      </c>
      <c r="AG286" s="41">
        <v>355</v>
      </c>
      <c r="AH286" s="40">
        <v>180</v>
      </c>
      <c r="AI286" s="41">
        <v>34.799999999999997</v>
      </c>
      <c r="AJ286" s="40">
        <v>45900</v>
      </c>
      <c r="AK286" s="40">
        <v>55.1</v>
      </c>
      <c r="AL286" s="40">
        <v>312</v>
      </c>
      <c r="AM286" s="40">
        <v>74.900000000000006</v>
      </c>
      <c r="AN286" s="40">
        <v>176</v>
      </c>
      <c r="AO286" s="134" t="s">
        <v>481</v>
      </c>
      <c r="AP286" s="39" t="s">
        <v>490</v>
      </c>
      <c r="AQ286" s="40">
        <f t="shared" si="71"/>
        <v>171.66497231526296</v>
      </c>
      <c r="AR286" s="41">
        <f t="shared" si="81"/>
        <v>14.06</v>
      </c>
      <c r="AS286" s="37">
        <f t="shared" si="72"/>
        <v>955.44296791788111</v>
      </c>
      <c r="AT286" s="42">
        <f t="shared" si="73"/>
        <v>17750</v>
      </c>
      <c r="AU286" s="31">
        <f t="shared" si="74"/>
        <v>10850</v>
      </c>
      <c r="AV286" s="31">
        <f t="shared" si="75"/>
        <v>8.8035132891104499</v>
      </c>
      <c r="AW286" s="37">
        <f t="shared" si="76"/>
        <v>24939.894654662687</v>
      </c>
      <c r="AX286" s="31">
        <f t="shared" si="77"/>
        <v>171.66497231526296</v>
      </c>
      <c r="AY286" s="42">
        <f t="shared" si="78"/>
        <v>19123.920057742071</v>
      </c>
      <c r="AZ286" s="42">
        <f t="shared" si="82"/>
        <v>7731367.3429454332</v>
      </c>
      <c r="BA286" s="42">
        <f t="shared" si="79"/>
        <v>19788.640754760952</v>
      </c>
      <c r="BB286" s="42">
        <f t="shared" si="80"/>
        <v>9000</v>
      </c>
      <c r="BC286" s="38">
        <f t="shared" si="83"/>
        <v>13.46</v>
      </c>
      <c r="BD286" s="38">
        <f t="shared" si="84"/>
        <v>15.123595505617978</v>
      </c>
      <c r="BE286" s="38">
        <f t="shared" si="85"/>
        <v>13.795</v>
      </c>
      <c r="BH286" s="34">
        <v>17.399999999999999</v>
      </c>
      <c r="BI286" s="43">
        <v>4.3499999999999996</v>
      </c>
    </row>
    <row r="287" spans="14:61">
      <c r="N287" s="30" t="s">
        <v>500</v>
      </c>
      <c r="O287" s="40">
        <v>51.8</v>
      </c>
      <c r="P287" s="128">
        <v>15.2</v>
      </c>
      <c r="Q287" s="128">
        <v>0.83</v>
      </c>
      <c r="R287" s="128">
        <v>15.7</v>
      </c>
      <c r="S287" s="128">
        <v>1.31</v>
      </c>
      <c r="T287" s="40">
        <v>1.91</v>
      </c>
      <c r="U287" s="132">
        <v>1.625</v>
      </c>
      <c r="V287" s="40">
        <v>5.97</v>
      </c>
      <c r="W287" s="84" t="s">
        <v>127</v>
      </c>
      <c r="X287" s="35">
        <f t="shared" si="69"/>
        <v>15.156626506024095</v>
      </c>
      <c r="Y287" s="36">
        <f t="shared" si="70"/>
        <v>4.5509804973812491</v>
      </c>
      <c r="Z287" s="34">
        <v>0.74</v>
      </c>
      <c r="AA287" s="40">
        <v>2140</v>
      </c>
      <c r="AB287" s="128">
        <v>281</v>
      </c>
      <c r="AC287" s="40">
        <v>6.43</v>
      </c>
      <c r="AD287" s="40">
        <v>838</v>
      </c>
      <c r="AE287" s="128">
        <v>107</v>
      </c>
      <c r="AF287" s="40">
        <v>4.0199999999999996</v>
      </c>
      <c r="AG287" s="41">
        <v>320</v>
      </c>
      <c r="AH287" s="40">
        <v>163</v>
      </c>
      <c r="AI287" s="41">
        <v>26.5</v>
      </c>
      <c r="AJ287" s="40">
        <v>40500</v>
      </c>
      <c r="AK287" s="40">
        <v>54.4</v>
      </c>
      <c r="AL287" s="40">
        <v>279</v>
      </c>
      <c r="AM287" s="40">
        <v>67.5</v>
      </c>
      <c r="AN287" s="40">
        <v>159</v>
      </c>
      <c r="AO287" s="134" t="s">
        <v>481</v>
      </c>
      <c r="AP287" s="39" t="s">
        <v>490</v>
      </c>
      <c r="AQ287" s="40">
        <f t="shared" si="71"/>
        <v>170.3933799277425</v>
      </c>
      <c r="AR287" s="41">
        <f t="shared" si="81"/>
        <v>13.889999999999999</v>
      </c>
      <c r="AS287" s="37">
        <f t="shared" si="72"/>
        <v>878.34899145599934</v>
      </c>
      <c r="AT287" s="42">
        <f t="shared" si="73"/>
        <v>16000</v>
      </c>
      <c r="AU287" s="31">
        <f t="shared" si="74"/>
        <v>9835</v>
      </c>
      <c r="AV287" s="31">
        <f t="shared" si="75"/>
        <v>8.7081730826197905</v>
      </c>
      <c r="AW287" s="37">
        <f t="shared" si="76"/>
        <v>24454.290280998524</v>
      </c>
      <c r="AX287" s="31">
        <f t="shared" si="77"/>
        <v>170.3933799277425</v>
      </c>
      <c r="AY287" s="42">
        <f t="shared" si="78"/>
        <v>17347.967544454506</v>
      </c>
      <c r="AZ287" s="42">
        <f t="shared" si="82"/>
        <v>6871655.5689605856</v>
      </c>
      <c r="BA287" s="42">
        <f t="shared" si="79"/>
        <v>17821.481196101635</v>
      </c>
      <c r="BB287" s="42">
        <f t="shared" si="80"/>
        <v>8150</v>
      </c>
      <c r="BC287" s="38">
        <f t="shared" si="83"/>
        <v>13.29</v>
      </c>
      <c r="BD287" s="38">
        <f t="shared" si="84"/>
        <v>16.012048192771083</v>
      </c>
      <c r="BE287" s="38">
        <f t="shared" si="85"/>
        <v>12.616</v>
      </c>
      <c r="BH287" s="34">
        <v>18.3</v>
      </c>
      <c r="BI287" s="43">
        <v>4.32</v>
      </c>
    </row>
    <row r="288" spans="14:61">
      <c r="N288" s="30" t="s">
        <v>501</v>
      </c>
      <c r="O288" s="40">
        <v>46.7</v>
      </c>
      <c r="P288" s="128">
        <v>15</v>
      </c>
      <c r="Q288" s="128">
        <v>0.745</v>
      </c>
      <c r="R288" s="128">
        <v>15.6</v>
      </c>
      <c r="S288" s="128">
        <v>1.19</v>
      </c>
      <c r="T288" s="40">
        <v>1.79</v>
      </c>
      <c r="U288" s="132">
        <v>1.5625</v>
      </c>
      <c r="V288" s="40">
        <v>6.54</v>
      </c>
      <c r="W288" s="84" t="s">
        <v>127</v>
      </c>
      <c r="X288" s="35">
        <f t="shared" si="69"/>
        <v>16.939597315436242</v>
      </c>
      <c r="Y288" s="36">
        <f t="shared" si="70"/>
        <v>4.5093690743627208</v>
      </c>
      <c r="Z288" s="34">
        <v>0.81</v>
      </c>
      <c r="AA288" s="40">
        <v>1900</v>
      </c>
      <c r="AB288" s="128">
        <v>254</v>
      </c>
      <c r="AC288" s="40">
        <v>6.38</v>
      </c>
      <c r="AD288" s="40">
        <v>748</v>
      </c>
      <c r="AE288" s="128">
        <v>96.2</v>
      </c>
      <c r="AF288" s="40">
        <v>4</v>
      </c>
      <c r="AG288" s="41">
        <v>287</v>
      </c>
      <c r="AH288" s="40">
        <v>146</v>
      </c>
      <c r="AI288" s="41">
        <v>19.7</v>
      </c>
      <c r="AJ288" s="40">
        <v>35600</v>
      </c>
      <c r="AK288" s="40">
        <v>53.7</v>
      </c>
      <c r="AL288" s="40">
        <v>248</v>
      </c>
      <c r="AM288" s="40">
        <v>60.8</v>
      </c>
      <c r="AN288" s="40">
        <v>142</v>
      </c>
      <c r="AO288" s="134" t="s">
        <v>481</v>
      </c>
      <c r="AP288" s="39" t="s">
        <v>490</v>
      </c>
      <c r="AQ288" s="40">
        <f t="shared" si="71"/>
        <v>169.54565166939554</v>
      </c>
      <c r="AR288" s="41">
        <f t="shared" si="81"/>
        <v>13.81</v>
      </c>
      <c r="AS288" s="37">
        <f t="shared" si="72"/>
        <v>799.76902746532176</v>
      </c>
      <c r="AT288" s="42">
        <f t="shared" si="73"/>
        <v>14350</v>
      </c>
      <c r="AU288" s="31">
        <f t="shared" si="74"/>
        <v>8890</v>
      </c>
      <c r="AV288" s="31">
        <f t="shared" si="75"/>
        <v>8.6635948612734612</v>
      </c>
      <c r="AW288" s="37">
        <f t="shared" si="76"/>
        <v>23997.450289677432</v>
      </c>
      <c r="AX288" s="31">
        <f t="shared" si="77"/>
        <v>169.54565166939554</v>
      </c>
      <c r="AY288" s="42">
        <f t="shared" si="78"/>
        <v>15683.722756718369</v>
      </c>
      <c r="AZ288" s="42">
        <f t="shared" si="82"/>
        <v>6095352.3735780679</v>
      </c>
      <c r="BA288" s="42">
        <f t="shared" si="79"/>
        <v>15963.185292897797</v>
      </c>
      <c r="BB288" s="42">
        <f t="shared" si="80"/>
        <v>7300</v>
      </c>
      <c r="BC288" s="38">
        <f t="shared" si="83"/>
        <v>13.21</v>
      </c>
      <c r="BD288" s="38">
        <f t="shared" si="84"/>
        <v>17.731543624161073</v>
      </c>
      <c r="BE288" s="38">
        <f t="shared" si="85"/>
        <v>11.175000000000001</v>
      </c>
      <c r="BH288" s="34">
        <v>20.100000000000001</v>
      </c>
      <c r="BI288" s="43">
        <v>4.3</v>
      </c>
    </row>
    <row r="289" spans="14:61">
      <c r="N289" s="30" t="s">
        <v>502</v>
      </c>
      <c r="O289" s="40">
        <v>42.7</v>
      </c>
      <c r="P289" s="128">
        <v>14.8</v>
      </c>
      <c r="Q289" s="128">
        <v>0.68</v>
      </c>
      <c r="R289" s="128">
        <v>15.5</v>
      </c>
      <c r="S289" s="128">
        <v>1.0900000000000001</v>
      </c>
      <c r="T289" s="40">
        <v>1.69</v>
      </c>
      <c r="U289" s="132">
        <v>1.5625</v>
      </c>
      <c r="V289" s="40">
        <v>7.11</v>
      </c>
      <c r="W289" s="84" t="s">
        <v>127</v>
      </c>
      <c r="X289" s="35">
        <f t="shared" si="69"/>
        <v>18.558823529411764</v>
      </c>
      <c r="Y289" s="36">
        <f t="shared" si="70"/>
        <v>4.4725383327514399</v>
      </c>
      <c r="Z289" s="34">
        <v>0.87</v>
      </c>
      <c r="AA289" s="40">
        <v>1710</v>
      </c>
      <c r="AB289" s="128">
        <v>232</v>
      </c>
      <c r="AC289" s="40">
        <v>6.33</v>
      </c>
      <c r="AD289" s="40">
        <v>677</v>
      </c>
      <c r="AE289" s="128">
        <v>87.3</v>
      </c>
      <c r="AF289" s="40">
        <v>3.98</v>
      </c>
      <c r="AG289" s="41">
        <v>260</v>
      </c>
      <c r="AH289" s="40">
        <v>133</v>
      </c>
      <c r="AI289" s="41">
        <v>15.2</v>
      </c>
      <c r="AJ289" s="40">
        <v>31700</v>
      </c>
      <c r="AK289" s="40">
        <v>53</v>
      </c>
      <c r="AL289" s="40">
        <v>224</v>
      </c>
      <c r="AM289" s="40">
        <v>55.3</v>
      </c>
      <c r="AN289" s="40">
        <v>129</v>
      </c>
      <c r="AO289" s="134" t="s">
        <v>481</v>
      </c>
      <c r="AP289" s="39" t="s">
        <v>490</v>
      </c>
      <c r="AQ289" s="40">
        <f t="shared" si="71"/>
        <v>168.69792341104855</v>
      </c>
      <c r="AR289" s="41">
        <f t="shared" si="81"/>
        <v>13.71</v>
      </c>
      <c r="AS289" s="37">
        <f t="shared" si="72"/>
        <v>740.32961398828809</v>
      </c>
      <c r="AT289" s="42">
        <f t="shared" si="73"/>
        <v>13000</v>
      </c>
      <c r="AU289" s="31">
        <f t="shared" si="74"/>
        <v>8120</v>
      </c>
      <c r="AV289" s="31">
        <f t="shared" si="75"/>
        <v>8.5369654629751661</v>
      </c>
      <c r="AW289" s="37">
        <f t="shared" si="76"/>
        <v>23598.734230652492</v>
      </c>
      <c r="AX289" s="31">
        <f t="shared" si="77"/>
        <v>168.69792341104855</v>
      </c>
      <c r="AY289" s="42">
        <f t="shared" si="78"/>
        <v>14306.991684613338</v>
      </c>
      <c r="AZ289" s="42">
        <f t="shared" si="82"/>
        <v>5474906.3415113781</v>
      </c>
      <c r="BA289" s="42">
        <f t="shared" si="79"/>
        <v>14441.821287425137</v>
      </c>
      <c r="BB289" s="42">
        <f t="shared" si="80"/>
        <v>6650</v>
      </c>
      <c r="BC289" s="38">
        <f t="shared" si="83"/>
        <v>13.110000000000001</v>
      </c>
      <c r="BD289" s="38">
        <f t="shared" si="84"/>
        <v>19.279411764705884</v>
      </c>
      <c r="BE289" s="38">
        <f t="shared" si="85"/>
        <v>10.064000000000002</v>
      </c>
      <c r="BH289" s="34">
        <v>21.7</v>
      </c>
      <c r="BI289" s="43">
        <v>4.28</v>
      </c>
    </row>
    <row r="290" spans="14:61">
      <c r="N290" s="30" t="s">
        <v>503</v>
      </c>
      <c r="O290" s="40">
        <v>38.799999999999997</v>
      </c>
      <c r="P290" s="128">
        <v>14.7</v>
      </c>
      <c r="Q290" s="128">
        <v>0.64500000000000002</v>
      </c>
      <c r="R290" s="128">
        <v>14.7</v>
      </c>
      <c r="S290" s="128">
        <v>1.03</v>
      </c>
      <c r="T290" s="40">
        <v>1.63</v>
      </c>
      <c r="U290" s="132">
        <v>1.5625</v>
      </c>
      <c r="V290" s="40">
        <v>7.15</v>
      </c>
      <c r="W290" s="84" t="s">
        <v>127</v>
      </c>
      <c r="X290" s="35">
        <f t="shared" si="69"/>
        <v>19.596899224806201</v>
      </c>
      <c r="Y290" s="36">
        <f t="shared" si="70"/>
        <v>4.2333716357884956</v>
      </c>
      <c r="Z290" s="34">
        <v>0.97</v>
      </c>
      <c r="AA290" s="40">
        <v>1530</v>
      </c>
      <c r="AB290" s="128">
        <v>209</v>
      </c>
      <c r="AC290" s="40">
        <v>6.28</v>
      </c>
      <c r="AD290" s="40">
        <v>548</v>
      </c>
      <c r="AE290" s="128">
        <v>74.5</v>
      </c>
      <c r="AF290" s="40">
        <v>3.76</v>
      </c>
      <c r="AG290" s="41">
        <v>234</v>
      </c>
      <c r="AH290" s="40">
        <v>113</v>
      </c>
      <c r="AI290" s="41">
        <v>12.3</v>
      </c>
      <c r="AJ290" s="40">
        <v>25500</v>
      </c>
      <c r="AK290" s="40">
        <v>50.2</v>
      </c>
      <c r="AL290" s="40">
        <v>190</v>
      </c>
      <c r="AM290" s="40">
        <v>49.4</v>
      </c>
      <c r="AN290" s="40">
        <v>116</v>
      </c>
      <c r="AO290" s="134" t="s">
        <v>481</v>
      </c>
      <c r="AP290" s="39" t="s">
        <v>69</v>
      </c>
      <c r="AQ290" s="40">
        <f t="shared" si="71"/>
        <v>159.37291256923177</v>
      </c>
      <c r="AR290" s="41">
        <f t="shared" si="81"/>
        <v>13.67</v>
      </c>
      <c r="AS290" s="37">
        <f t="shared" si="72"/>
        <v>671.30805360063619</v>
      </c>
      <c r="AT290" s="42">
        <f t="shared" si="73"/>
        <v>11700</v>
      </c>
      <c r="AU290" s="31">
        <f t="shared" si="74"/>
        <v>7315</v>
      </c>
      <c r="AV290" s="31">
        <f t="shared" si="75"/>
        <v>8.565538187445906</v>
      </c>
      <c r="AW290" s="37">
        <f t="shared" si="76"/>
        <v>21142.620123381861</v>
      </c>
      <c r="AX290" s="31">
        <f t="shared" si="77"/>
        <v>159.37291256923177</v>
      </c>
      <c r="AY290" s="42">
        <f t="shared" si="78"/>
        <v>12931.492372932076</v>
      </c>
      <c r="AZ290" s="42">
        <f t="shared" si="82"/>
        <v>4418807.6057868088</v>
      </c>
      <c r="BA290" s="42">
        <f t="shared" si="79"/>
        <v>12995.570972409678</v>
      </c>
      <c r="BB290" s="42">
        <f t="shared" si="80"/>
        <v>5650</v>
      </c>
      <c r="BC290" s="38">
        <f t="shared" si="83"/>
        <v>13.07</v>
      </c>
      <c r="BD290" s="38">
        <f t="shared" si="84"/>
        <v>20.263565891472869</v>
      </c>
      <c r="BE290" s="38">
        <f t="shared" si="85"/>
        <v>9.4815000000000005</v>
      </c>
      <c r="BH290" s="34">
        <v>22.7</v>
      </c>
      <c r="BI290" s="43">
        <v>4.05</v>
      </c>
    </row>
    <row r="291" spans="14:61">
      <c r="N291" s="30" t="s">
        <v>504</v>
      </c>
      <c r="O291" s="40">
        <v>35.299999999999997</v>
      </c>
      <c r="P291" s="128">
        <v>14.5</v>
      </c>
      <c r="Q291" s="128">
        <v>0.59</v>
      </c>
      <c r="R291" s="128">
        <v>14.7</v>
      </c>
      <c r="S291" s="128">
        <v>0.94</v>
      </c>
      <c r="T291" s="40">
        <v>1.54</v>
      </c>
      <c r="U291" s="155">
        <v>1.5</v>
      </c>
      <c r="V291" s="40">
        <v>7.8</v>
      </c>
      <c r="W291" s="84" t="s">
        <v>127</v>
      </c>
      <c r="X291" s="35">
        <f t="shared" si="69"/>
        <v>21.389830508474578</v>
      </c>
      <c r="Y291" s="36">
        <f t="shared" si="70"/>
        <v>4.2028186030955839</v>
      </c>
      <c r="Z291" s="34">
        <v>1.05</v>
      </c>
      <c r="AA291" s="40">
        <v>1380</v>
      </c>
      <c r="AB291" s="128">
        <v>190</v>
      </c>
      <c r="AC291" s="40">
        <v>6.24</v>
      </c>
      <c r="AD291" s="40">
        <v>495</v>
      </c>
      <c r="AE291" s="128">
        <v>67.5</v>
      </c>
      <c r="AF291" s="40">
        <v>3.74</v>
      </c>
      <c r="AG291" s="41">
        <v>212</v>
      </c>
      <c r="AH291" s="40">
        <v>102</v>
      </c>
      <c r="AI291" s="41">
        <v>9.3699999999999992</v>
      </c>
      <c r="AJ291" s="40">
        <v>22700</v>
      </c>
      <c r="AK291" s="40">
        <v>49.7</v>
      </c>
      <c r="AL291" s="40">
        <v>171</v>
      </c>
      <c r="AM291" s="40">
        <v>44.8</v>
      </c>
      <c r="AN291" s="40">
        <v>105</v>
      </c>
      <c r="AO291" s="134" t="s">
        <v>481</v>
      </c>
      <c r="AP291" s="39" t="s">
        <v>69</v>
      </c>
      <c r="AQ291" s="40">
        <f t="shared" si="71"/>
        <v>158.52518431088484</v>
      </c>
      <c r="AR291" s="41">
        <f t="shared" si="81"/>
        <v>13.56</v>
      </c>
      <c r="AS291" s="37">
        <f t="shared" si="72"/>
        <v>623.85680750070537</v>
      </c>
      <c r="AT291" s="42">
        <f t="shared" si="73"/>
        <v>10600</v>
      </c>
      <c r="AU291" s="31">
        <f t="shared" si="74"/>
        <v>6650</v>
      </c>
      <c r="AV291" s="31">
        <f t="shared" si="75"/>
        <v>8.4885698782364827</v>
      </c>
      <c r="AW291" s="37">
        <f t="shared" si="76"/>
        <v>20831.780886587014</v>
      </c>
      <c r="AX291" s="31">
        <f t="shared" si="77"/>
        <v>158.52518431088484</v>
      </c>
      <c r="AY291" s="42">
        <f t="shared" si="78"/>
        <v>11813.230414382775</v>
      </c>
      <c r="AZ291" s="42">
        <f t="shared" si="82"/>
        <v>3958038.3684515324</v>
      </c>
      <c r="BA291" s="42">
        <f t="shared" si="79"/>
        <v>11767.047968305182</v>
      </c>
      <c r="BB291" s="42">
        <f t="shared" si="80"/>
        <v>5100</v>
      </c>
      <c r="BC291" s="38">
        <f t="shared" si="83"/>
        <v>12.96</v>
      </c>
      <c r="BD291" s="38">
        <f t="shared" si="84"/>
        <v>21.966101694915256</v>
      </c>
      <c r="BE291" s="38">
        <f t="shared" si="85"/>
        <v>8.5549999999999997</v>
      </c>
      <c r="BH291" s="34">
        <v>24.5</v>
      </c>
      <c r="BI291" s="43">
        <v>4.04</v>
      </c>
    </row>
    <row r="292" spans="14:61">
      <c r="N292" s="30" t="s">
        <v>505</v>
      </c>
      <c r="O292" s="40">
        <v>32</v>
      </c>
      <c r="P292" s="128">
        <v>14.3</v>
      </c>
      <c r="Q292" s="128">
        <v>0.52500000000000002</v>
      </c>
      <c r="R292" s="128">
        <v>14.6</v>
      </c>
      <c r="S292" s="128">
        <v>0.86</v>
      </c>
      <c r="T292" s="40">
        <v>1.46</v>
      </c>
      <c r="U292" s="132">
        <v>1.5</v>
      </c>
      <c r="V292" s="40">
        <v>8.49</v>
      </c>
      <c r="W292" s="34">
        <v>58.6</v>
      </c>
      <c r="X292" s="35">
        <f t="shared" si="69"/>
        <v>23.961904761904762</v>
      </c>
      <c r="Y292" s="36">
        <f t="shared" si="70"/>
        <v>4.1669217648306827</v>
      </c>
      <c r="Z292" s="34">
        <v>1.1399999999999999</v>
      </c>
      <c r="AA292" s="40">
        <v>1240</v>
      </c>
      <c r="AB292" s="128">
        <v>173</v>
      </c>
      <c r="AC292" s="40">
        <v>6.22</v>
      </c>
      <c r="AD292" s="40">
        <v>447</v>
      </c>
      <c r="AE292" s="128">
        <v>61.2</v>
      </c>
      <c r="AF292" s="40">
        <v>3.73</v>
      </c>
      <c r="AG292" s="41">
        <v>192</v>
      </c>
      <c r="AH292" s="40">
        <v>92.7</v>
      </c>
      <c r="AI292" s="41">
        <v>7.12</v>
      </c>
      <c r="AJ292" s="40">
        <v>20200</v>
      </c>
      <c r="AK292" s="40">
        <v>49.1</v>
      </c>
      <c r="AL292" s="40">
        <v>154</v>
      </c>
      <c r="AM292" s="40">
        <v>40.700000000000003</v>
      </c>
      <c r="AN292" s="40">
        <v>94.9</v>
      </c>
      <c r="AO292" s="134" t="s">
        <v>481</v>
      </c>
      <c r="AP292" s="39" t="s">
        <v>69</v>
      </c>
      <c r="AQ292" s="40">
        <f t="shared" si="71"/>
        <v>158.10132018171132</v>
      </c>
      <c r="AR292" s="41">
        <f t="shared" si="81"/>
        <v>13.440000000000001</v>
      </c>
      <c r="AS292" s="37">
        <f t="shared" si="72"/>
        <v>580.98066744943867</v>
      </c>
      <c r="AT292" s="42">
        <f t="shared" si="73"/>
        <v>9600</v>
      </c>
      <c r="AU292" s="31">
        <f t="shared" si="74"/>
        <v>6055</v>
      </c>
      <c r="AV292" s="31">
        <f t="shared" si="75"/>
        <v>8.3830057507056264</v>
      </c>
      <c r="AW292" s="37">
        <f t="shared" si="76"/>
        <v>20471.728236471899</v>
      </c>
      <c r="AX292" s="31">
        <f t="shared" si="77"/>
        <v>158.10132018171132</v>
      </c>
      <c r="AY292" s="42">
        <f t="shared" si="78"/>
        <v>10794.589386566429</v>
      </c>
      <c r="AZ292" s="42">
        <f t="shared" si="82"/>
        <v>3541608.9849096388</v>
      </c>
      <c r="BA292" s="42">
        <f t="shared" si="79"/>
        <v>10647.388619656171</v>
      </c>
      <c r="BB292" s="42">
        <f t="shared" si="80"/>
        <v>4635</v>
      </c>
      <c r="BC292" s="38">
        <f t="shared" si="83"/>
        <v>12.84</v>
      </c>
      <c r="BD292" s="38">
        <f t="shared" si="84"/>
        <v>24.457142857142856</v>
      </c>
      <c r="BE292" s="38">
        <f t="shared" si="85"/>
        <v>7.5075000000000003</v>
      </c>
      <c r="BH292" s="34">
        <v>27.3</v>
      </c>
      <c r="BI292" s="43">
        <v>4.0199999999999996</v>
      </c>
    </row>
    <row r="293" spans="14:61">
      <c r="N293" s="30" t="s">
        <v>506</v>
      </c>
      <c r="O293" s="40">
        <v>29.1</v>
      </c>
      <c r="P293" s="128">
        <v>14.2</v>
      </c>
      <c r="Q293" s="128">
        <v>0.48499999999999999</v>
      </c>
      <c r="R293" s="128">
        <v>14.6</v>
      </c>
      <c r="S293" s="128">
        <v>0.78</v>
      </c>
      <c r="T293" s="40">
        <v>1.38</v>
      </c>
      <c r="U293" s="132">
        <v>1.4375</v>
      </c>
      <c r="V293" s="40">
        <v>9.34</v>
      </c>
      <c r="W293" s="34">
        <v>48.5</v>
      </c>
      <c r="X293" s="35">
        <f t="shared" si="69"/>
        <v>26.061855670103093</v>
      </c>
      <c r="Y293" s="36">
        <f t="shared" si="70"/>
        <v>4.1449992892979193</v>
      </c>
      <c r="Z293" s="34">
        <v>1.25</v>
      </c>
      <c r="AA293" s="40">
        <v>1110</v>
      </c>
      <c r="AB293" s="128">
        <v>157</v>
      </c>
      <c r="AC293" s="40">
        <v>6.17</v>
      </c>
      <c r="AD293" s="40">
        <v>402</v>
      </c>
      <c r="AE293" s="128">
        <v>55.2</v>
      </c>
      <c r="AF293" s="40">
        <v>3.71</v>
      </c>
      <c r="AG293" s="41">
        <v>173</v>
      </c>
      <c r="AH293" s="40">
        <v>83.6</v>
      </c>
      <c r="AI293" s="41">
        <v>5.37</v>
      </c>
      <c r="AJ293" s="40">
        <v>18000</v>
      </c>
      <c r="AK293" s="40">
        <v>48.7</v>
      </c>
      <c r="AL293" s="40">
        <v>138</v>
      </c>
      <c r="AM293" s="40">
        <v>36.700000000000003</v>
      </c>
      <c r="AN293" s="40">
        <v>85.6</v>
      </c>
      <c r="AO293" s="134" t="s">
        <v>481</v>
      </c>
      <c r="AP293" s="39" t="s">
        <v>69</v>
      </c>
      <c r="AQ293" s="40">
        <f t="shared" si="71"/>
        <v>157.25359192336435</v>
      </c>
      <c r="AR293" s="41">
        <f t="shared" si="81"/>
        <v>13.42</v>
      </c>
      <c r="AS293" s="37">
        <f t="shared" si="72"/>
        <v>543.7197375977654</v>
      </c>
      <c r="AT293" s="42">
        <f t="shared" si="73"/>
        <v>8650</v>
      </c>
      <c r="AU293" s="31">
        <f t="shared" si="74"/>
        <v>5495</v>
      </c>
      <c r="AV293" s="31">
        <f t="shared" si="75"/>
        <v>8.1637163702770934</v>
      </c>
      <c r="AW293" s="37">
        <f t="shared" si="76"/>
        <v>20251.519242668332</v>
      </c>
      <c r="AX293" s="31">
        <f t="shared" si="77"/>
        <v>157.25359192336435</v>
      </c>
      <c r="AY293" s="42">
        <f t="shared" si="78"/>
        <v>9806.4197472933211</v>
      </c>
      <c r="AZ293" s="42">
        <f t="shared" si="82"/>
        <v>3179488.5210989281</v>
      </c>
      <c r="BA293" s="42">
        <f t="shared" si="79"/>
        <v>9582.1610987348995</v>
      </c>
      <c r="BB293" s="42">
        <f t="shared" si="80"/>
        <v>4180</v>
      </c>
      <c r="BC293" s="38">
        <f t="shared" si="83"/>
        <v>12.82</v>
      </c>
      <c r="BD293" s="38">
        <f t="shared" si="84"/>
        <v>26.432989690721651</v>
      </c>
      <c r="BE293" s="38">
        <f t="shared" si="85"/>
        <v>6.8869999999999996</v>
      </c>
      <c r="BH293" s="34">
        <v>29.2</v>
      </c>
      <c r="BI293" s="43">
        <v>4</v>
      </c>
    </row>
    <row r="294" spans="14:61">
      <c r="N294" s="30" t="s">
        <v>507</v>
      </c>
      <c r="O294" s="40">
        <v>26.5</v>
      </c>
      <c r="P294" s="128">
        <v>14</v>
      </c>
      <c r="Q294" s="128">
        <v>0.44</v>
      </c>
      <c r="R294" s="128">
        <v>14.5</v>
      </c>
      <c r="S294" s="128">
        <v>0.71</v>
      </c>
      <c r="T294" s="40">
        <v>1.31</v>
      </c>
      <c r="U294" s="132">
        <v>1.4375</v>
      </c>
      <c r="V294" s="40">
        <v>10.199999999999999</v>
      </c>
      <c r="W294" s="34">
        <v>40.4</v>
      </c>
      <c r="X294" s="35">
        <f t="shared" si="69"/>
        <v>28.59090909090909</v>
      </c>
      <c r="Y294" s="36">
        <f t="shared" si="70"/>
        <v>4.1014154131968139</v>
      </c>
      <c r="Z294" s="34">
        <v>1.36</v>
      </c>
      <c r="AA294" s="40">
        <v>999</v>
      </c>
      <c r="AB294" s="128">
        <v>143</v>
      </c>
      <c r="AC294" s="40">
        <v>6.14</v>
      </c>
      <c r="AD294" s="40">
        <v>362</v>
      </c>
      <c r="AE294" s="128">
        <v>49.9</v>
      </c>
      <c r="AF294" s="40">
        <v>3.7</v>
      </c>
      <c r="AG294" s="41">
        <v>157</v>
      </c>
      <c r="AH294" s="40">
        <v>75.599999999999994</v>
      </c>
      <c r="AI294" s="41">
        <v>4.0599999999999996</v>
      </c>
      <c r="AJ294" s="40">
        <v>16000</v>
      </c>
      <c r="AK294" s="40">
        <v>48.3</v>
      </c>
      <c r="AL294" s="40">
        <v>125</v>
      </c>
      <c r="AM294" s="40">
        <v>33.299999999999997</v>
      </c>
      <c r="AN294" s="40">
        <v>77.3</v>
      </c>
      <c r="AO294" s="134" t="s">
        <v>481</v>
      </c>
      <c r="AP294" s="39" t="s">
        <v>69</v>
      </c>
      <c r="AQ294" s="40">
        <f t="shared" si="71"/>
        <v>156.82972779419086</v>
      </c>
      <c r="AR294" s="41">
        <f t="shared" si="81"/>
        <v>13.29</v>
      </c>
      <c r="AS294" s="37">
        <f t="shared" si="72"/>
        <v>510.40436964546541</v>
      </c>
      <c r="AT294" s="42">
        <f t="shared" si="73"/>
        <v>7850</v>
      </c>
      <c r="AU294" s="31">
        <f t="shared" si="74"/>
        <v>5005</v>
      </c>
      <c r="AV294" s="31">
        <f t="shared" si="75"/>
        <v>8.0463915203418441</v>
      </c>
      <c r="AW294" s="37">
        <f t="shared" si="76"/>
        <v>19823.870218577838</v>
      </c>
      <c r="AX294" s="31">
        <f t="shared" si="77"/>
        <v>156.82972779419086</v>
      </c>
      <c r="AY294" s="42">
        <f t="shared" si="78"/>
        <v>8986.3896841433634</v>
      </c>
      <c r="AZ294" s="42">
        <f t="shared" si="82"/>
        <v>2834813.4412566307</v>
      </c>
      <c r="BA294" s="42">
        <f t="shared" si="79"/>
        <v>8690.5699923615812</v>
      </c>
      <c r="BB294" s="42">
        <f t="shared" si="80"/>
        <v>3779.9999999999995</v>
      </c>
      <c r="BC294" s="38">
        <f t="shared" si="83"/>
        <v>12.69</v>
      </c>
      <c r="BD294" s="38">
        <f t="shared" si="84"/>
        <v>28.84090909090909</v>
      </c>
      <c r="BE294" s="38">
        <f t="shared" si="85"/>
        <v>6.16</v>
      </c>
      <c r="BH294" s="34">
        <v>31.9</v>
      </c>
      <c r="BI294" s="43">
        <v>3.99</v>
      </c>
    </row>
    <row r="295" spans="14:61">
      <c r="N295" s="30" t="s">
        <v>508</v>
      </c>
      <c r="O295" s="40">
        <v>24</v>
      </c>
      <c r="P295" s="128">
        <v>14.3</v>
      </c>
      <c r="Q295" s="128">
        <v>0.51</v>
      </c>
      <c r="R295" s="128">
        <v>10.1</v>
      </c>
      <c r="S295" s="128">
        <v>0.85499999999999998</v>
      </c>
      <c r="T295" s="40">
        <v>1.45</v>
      </c>
      <c r="U295" s="132">
        <v>1.0625</v>
      </c>
      <c r="V295" s="40">
        <v>5.92</v>
      </c>
      <c r="W295" s="84" t="s">
        <v>127</v>
      </c>
      <c r="X295" s="35">
        <f t="shared" si="69"/>
        <v>24.686274509803919</v>
      </c>
      <c r="Y295" s="36">
        <f t="shared" si="70"/>
        <v>2.8440924367217546</v>
      </c>
      <c r="Z295" s="34">
        <v>1.65</v>
      </c>
      <c r="AA295" s="40">
        <v>881</v>
      </c>
      <c r="AB295" s="128">
        <v>123</v>
      </c>
      <c r="AC295" s="40">
        <v>6.05</v>
      </c>
      <c r="AD295" s="40">
        <v>148</v>
      </c>
      <c r="AE295" s="128">
        <v>29.3</v>
      </c>
      <c r="AF295" s="40">
        <v>2.48</v>
      </c>
      <c r="AG295" s="41">
        <v>139</v>
      </c>
      <c r="AH295" s="40">
        <v>44.8</v>
      </c>
      <c r="AI295" s="41">
        <v>5.07</v>
      </c>
      <c r="AJ295" s="40">
        <v>6700</v>
      </c>
      <c r="AK295" s="40">
        <v>34.1</v>
      </c>
      <c r="AL295" s="40">
        <v>73.8</v>
      </c>
      <c r="AM295" s="40">
        <v>27.7</v>
      </c>
      <c r="AN295" s="40">
        <v>68.400000000000006</v>
      </c>
      <c r="AO295" s="130" t="s">
        <v>134</v>
      </c>
      <c r="AP295" s="39" t="s">
        <v>69</v>
      </c>
      <c r="AQ295" s="40">
        <f t="shared" si="71"/>
        <v>105.11830403502522</v>
      </c>
      <c r="AR295" s="41">
        <f t="shared" si="81"/>
        <v>13.445</v>
      </c>
      <c r="AS295" s="37">
        <f t="shared" si="72"/>
        <v>396.70464963650176</v>
      </c>
      <c r="AT295" s="42">
        <f t="shared" si="73"/>
        <v>6950</v>
      </c>
      <c r="AU295" s="31">
        <f t="shared" si="74"/>
        <v>4305</v>
      </c>
      <c r="AV295" s="31">
        <f t="shared" si="75"/>
        <v>9.0710694787300987</v>
      </c>
      <c r="AW295" s="37">
        <f t="shared" si="76"/>
        <v>9555.2523846990825</v>
      </c>
      <c r="AX295" s="31">
        <f t="shared" si="77"/>
        <v>105.11830403502522</v>
      </c>
      <c r="AY295" s="42">
        <f t="shared" si="78"/>
        <v>7762.0267555197988</v>
      </c>
      <c r="AZ295" s="42">
        <f t="shared" si="82"/>
        <v>1175296.0433179871</v>
      </c>
      <c r="BA295" s="42">
        <f t="shared" si="79"/>
        <v>7731.4789559916981</v>
      </c>
      <c r="BB295" s="42">
        <f t="shared" si="80"/>
        <v>2240</v>
      </c>
      <c r="BC295" s="38">
        <f t="shared" si="83"/>
        <v>12.850000000000001</v>
      </c>
      <c r="BD295" s="38">
        <f t="shared" si="84"/>
        <v>25.196078431372552</v>
      </c>
      <c r="BE295" s="38">
        <f t="shared" si="85"/>
        <v>7.2930000000000001</v>
      </c>
      <c r="BH295" s="34">
        <v>28.1</v>
      </c>
      <c r="BI295" s="43">
        <v>2.74</v>
      </c>
    </row>
    <row r="296" spans="14:61">
      <c r="N296" s="30" t="s">
        <v>509</v>
      </c>
      <c r="O296" s="40">
        <v>21.8</v>
      </c>
      <c r="P296" s="128">
        <v>14.2</v>
      </c>
      <c r="Q296" s="128">
        <v>0.45</v>
      </c>
      <c r="R296" s="128">
        <v>10.1</v>
      </c>
      <c r="S296" s="128">
        <v>0.78500000000000003</v>
      </c>
      <c r="T296" s="40">
        <v>1.38</v>
      </c>
      <c r="U296" s="132">
        <v>1.0625</v>
      </c>
      <c r="V296" s="40">
        <v>6.41</v>
      </c>
      <c r="W296" s="84" t="s">
        <v>127</v>
      </c>
      <c r="X296" s="35">
        <f t="shared" si="69"/>
        <v>28.066666666666663</v>
      </c>
      <c r="Y296" s="36">
        <f t="shared" si="70"/>
        <v>2.8328509743467167</v>
      </c>
      <c r="Z296" s="34">
        <v>1.79</v>
      </c>
      <c r="AA296" s="40">
        <v>795</v>
      </c>
      <c r="AB296" s="128">
        <v>112</v>
      </c>
      <c r="AC296" s="40">
        <v>6.04</v>
      </c>
      <c r="AD296" s="40">
        <v>134</v>
      </c>
      <c r="AE296" s="128">
        <v>26.6</v>
      </c>
      <c r="AF296" s="40">
        <v>2.48</v>
      </c>
      <c r="AG296" s="41">
        <v>126</v>
      </c>
      <c r="AH296" s="40">
        <v>40.5</v>
      </c>
      <c r="AI296" s="41">
        <v>3.87</v>
      </c>
      <c r="AJ296" s="40">
        <v>6000</v>
      </c>
      <c r="AK296" s="40">
        <v>33.700000000000003</v>
      </c>
      <c r="AL296" s="40">
        <v>66.599999999999994</v>
      </c>
      <c r="AM296" s="40">
        <v>25.3</v>
      </c>
      <c r="AN296" s="40">
        <v>61.8</v>
      </c>
      <c r="AO296" s="130" t="s">
        <v>134</v>
      </c>
      <c r="AP296" s="39" t="s">
        <v>69</v>
      </c>
      <c r="AQ296" s="40">
        <f t="shared" si="71"/>
        <v>105.11830403502522</v>
      </c>
      <c r="AR296" s="41">
        <f t="shared" si="81"/>
        <v>13.414999999999999</v>
      </c>
      <c r="AS296" s="37">
        <f t="shared" si="72"/>
        <v>372.84022786488646</v>
      </c>
      <c r="AT296" s="42">
        <f t="shared" si="73"/>
        <v>6300</v>
      </c>
      <c r="AU296" s="31">
        <f t="shared" si="74"/>
        <v>3920</v>
      </c>
      <c r="AV296" s="31">
        <f t="shared" si="75"/>
        <v>8.8898210723769608</v>
      </c>
      <c r="AW296" s="37">
        <f t="shared" si="76"/>
        <v>9474.6789967968634</v>
      </c>
      <c r="AX296" s="31">
        <f t="shared" si="77"/>
        <v>105.11830403502522</v>
      </c>
      <c r="AY296" s="42">
        <f t="shared" si="78"/>
        <v>7095.8017055740147</v>
      </c>
      <c r="AZ296" s="42">
        <f t="shared" si="82"/>
        <v>1061164.0476412487</v>
      </c>
      <c r="BA296" s="42">
        <f t="shared" si="79"/>
        <v>7003.1833328016037</v>
      </c>
      <c r="BB296" s="42">
        <f t="shared" si="80"/>
        <v>2025</v>
      </c>
      <c r="BC296" s="38">
        <f t="shared" si="83"/>
        <v>12.82</v>
      </c>
      <c r="BD296" s="38">
        <f t="shared" si="84"/>
        <v>28.488888888888887</v>
      </c>
      <c r="BE296" s="38">
        <f t="shared" si="85"/>
        <v>6.39</v>
      </c>
      <c r="BH296" s="34">
        <v>31.5</v>
      </c>
      <c r="BI296" s="43">
        <v>2.72</v>
      </c>
    </row>
    <row r="297" spans="14:61">
      <c r="N297" s="30" t="s">
        <v>510</v>
      </c>
      <c r="O297" s="40">
        <v>20</v>
      </c>
      <c r="P297" s="128">
        <v>14</v>
      </c>
      <c r="Q297" s="128">
        <v>0.41499999999999998</v>
      </c>
      <c r="R297" s="128">
        <v>10</v>
      </c>
      <c r="S297" s="128">
        <v>0.72</v>
      </c>
      <c r="T297" s="40">
        <v>1.31</v>
      </c>
      <c r="U297" s="145">
        <v>1.0625</v>
      </c>
      <c r="V297" s="40">
        <v>6.97</v>
      </c>
      <c r="W297" s="84" t="s">
        <v>127</v>
      </c>
      <c r="X297" s="35">
        <f t="shared" si="69"/>
        <v>30.265060240963859</v>
      </c>
      <c r="Y297" s="36">
        <f t="shared" si="70"/>
        <v>2.7929175336043426</v>
      </c>
      <c r="Z297" s="34">
        <v>1.94</v>
      </c>
      <c r="AA297" s="40">
        <v>722</v>
      </c>
      <c r="AB297" s="128">
        <v>103</v>
      </c>
      <c r="AC297" s="40">
        <v>6.01</v>
      </c>
      <c r="AD297" s="40">
        <v>121</v>
      </c>
      <c r="AE297" s="128">
        <v>24.2</v>
      </c>
      <c r="AF297" s="40">
        <v>2.46</v>
      </c>
      <c r="AG297" s="41">
        <v>115</v>
      </c>
      <c r="AH297" s="40">
        <v>36.9</v>
      </c>
      <c r="AI297" s="41">
        <v>3.01</v>
      </c>
      <c r="AJ297" s="40">
        <v>5370</v>
      </c>
      <c r="AK297" s="40">
        <v>33.4</v>
      </c>
      <c r="AL297" s="40">
        <v>60.4</v>
      </c>
      <c r="AM297" s="40">
        <v>23.1</v>
      </c>
      <c r="AN297" s="40">
        <v>56.4</v>
      </c>
      <c r="AO297" s="130" t="s">
        <v>134</v>
      </c>
      <c r="AP297" s="39" t="s">
        <v>69</v>
      </c>
      <c r="AQ297" s="40">
        <f t="shared" si="71"/>
        <v>104.27057577667826</v>
      </c>
      <c r="AR297" s="41">
        <f t="shared" si="81"/>
        <v>13.28</v>
      </c>
      <c r="AS297" s="37">
        <f t="shared" si="72"/>
        <v>350.50620131307181</v>
      </c>
      <c r="AT297" s="42">
        <f t="shared" si="73"/>
        <v>5750</v>
      </c>
      <c r="AU297" s="31">
        <f t="shared" si="74"/>
        <v>3605</v>
      </c>
      <c r="AV297" s="31">
        <f t="shared" si="75"/>
        <v>8.7111683994847837</v>
      </c>
      <c r="AW297" s="37">
        <f t="shared" si="76"/>
        <v>9206.0647901681314</v>
      </c>
      <c r="AX297" s="31">
        <f t="shared" si="77"/>
        <v>104.27057577667826</v>
      </c>
      <c r="AY297" s="42">
        <f t="shared" si="78"/>
        <v>6522.4243176699201</v>
      </c>
      <c r="AZ297" s="42">
        <f t="shared" si="82"/>
        <v>948224.67338731757</v>
      </c>
      <c r="BA297" s="42">
        <f t="shared" si="79"/>
        <v>6383.7513650669916</v>
      </c>
      <c r="BB297" s="42">
        <f t="shared" si="80"/>
        <v>1845</v>
      </c>
      <c r="BC297" s="38">
        <f t="shared" si="83"/>
        <v>12.69</v>
      </c>
      <c r="BD297" s="38">
        <f t="shared" si="84"/>
        <v>30.578313253012048</v>
      </c>
      <c r="BE297" s="38">
        <f t="shared" si="85"/>
        <v>5.81</v>
      </c>
      <c r="BH297" s="34">
        <v>33.799999999999997</v>
      </c>
      <c r="BI297" s="43">
        <v>2.71</v>
      </c>
    </row>
    <row r="298" spans="14:61">
      <c r="N298" s="30" t="s">
        <v>511</v>
      </c>
      <c r="O298" s="40">
        <v>17.899999999999999</v>
      </c>
      <c r="P298" s="128">
        <v>13.9</v>
      </c>
      <c r="Q298" s="128">
        <v>0.375</v>
      </c>
      <c r="R298" s="128">
        <v>9.99</v>
      </c>
      <c r="S298" s="128">
        <v>0.64500000000000002</v>
      </c>
      <c r="T298" s="40">
        <v>1.24</v>
      </c>
      <c r="U298" s="129">
        <v>1</v>
      </c>
      <c r="V298" s="40">
        <v>7.75</v>
      </c>
      <c r="W298" s="84" t="s">
        <v>127</v>
      </c>
      <c r="X298" s="35">
        <f t="shared" si="69"/>
        <v>33.626666666666665</v>
      </c>
      <c r="Y298" s="36">
        <f t="shared" si="70"/>
        <v>2.7748335826692796</v>
      </c>
      <c r="Z298" s="34">
        <v>2.15</v>
      </c>
      <c r="AA298" s="40">
        <v>640</v>
      </c>
      <c r="AB298" s="128">
        <v>92.1</v>
      </c>
      <c r="AC298" s="40">
        <v>5.98</v>
      </c>
      <c r="AD298" s="40">
        <v>107</v>
      </c>
      <c r="AE298" s="128">
        <v>21.5</v>
      </c>
      <c r="AF298" s="40">
        <v>2.4500000000000002</v>
      </c>
      <c r="AG298" s="41">
        <v>102</v>
      </c>
      <c r="AH298" s="40">
        <v>32.799999999999997</v>
      </c>
      <c r="AI298" s="41">
        <v>2.19</v>
      </c>
      <c r="AJ298" s="40">
        <v>4690</v>
      </c>
      <c r="AK298" s="40">
        <v>33.1</v>
      </c>
      <c r="AL298" s="40">
        <v>53.3</v>
      </c>
      <c r="AM298" s="40">
        <v>20.5</v>
      </c>
      <c r="AN298" s="40">
        <v>50.1</v>
      </c>
      <c r="AO298" s="130" t="s">
        <v>134</v>
      </c>
      <c r="AP298" s="39" t="s">
        <v>69</v>
      </c>
      <c r="AQ298" s="40">
        <f t="shared" si="71"/>
        <v>103.84671164750476</v>
      </c>
      <c r="AR298" s="41">
        <f t="shared" si="81"/>
        <v>13.255000000000001</v>
      </c>
      <c r="AS298" s="37">
        <f t="shared" si="72"/>
        <v>329.71443531913144</v>
      </c>
      <c r="AT298" s="42">
        <f t="shared" si="73"/>
        <v>5100</v>
      </c>
      <c r="AU298" s="31">
        <f t="shared" si="74"/>
        <v>3223.5</v>
      </c>
      <c r="AV298" s="31">
        <f t="shared" si="75"/>
        <v>8.3079599399873203</v>
      </c>
      <c r="AW298" s="37">
        <f t="shared" si="76"/>
        <v>9083.0184873846774</v>
      </c>
      <c r="AX298" s="31">
        <f t="shared" si="77"/>
        <v>103.84671164750476</v>
      </c>
      <c r="AY298" s="42">
        <f t="shared" si="78"/>
        <v>5833.1501452030816</v>
      </c>
      <c r="AZ298" s="42">
        <f t="shared" si="82"/>
        <v>836546.00268812873</v>
      </c>
      <c r="BA298" s="42">
        <f t="shared" si="79"/>
        <v>5654.4216487404237</v>
      </c>
      <c r="BB298" s="42">
        <f t="shared" si="80"/>
        <v>1639.9999999999998</v>
      </c>
      <c r="BC298" s="38">
        <f t="shared" si="83"/>
        <v>12.66</v>
      </c>
      <c r="BD298" s="38">
        <f t="shared" si="84"/>
        <v>33.76</v>
      </c>
      <c r="BE298" s="38">
        <f t="shared" si="85"/>
        <v>5.2125000000000004</v>
      </c>
      <c r="BH298" s="34">
        <v>37</v>
      </c>
      <c r="BI298" s="43">
        <v>2.7</v>
      </c>
    </row>
    <row r="299" spans="14:61">
      <c r="N299" s="30" t="s">
        <v>512</v>
      </c>
      <c r="O299" s="40">
        <v>15.6</v>
      </c>
      <c r="P299" s="128">
        <v>13.9</v>
      </c>
      <c r="Q299" s="128">
        <v>0.37</v>
      </c>
      <c r="R299" s="128">
        <v>8.06</v>
      </c>
      <c r="S299" s="128">
        <v>0.66</v>
      </c>
      <c r="T299" s="40">
        <v>1.25</v>
      </c>
      <c r="U299" s="129">
        <v>1</v>
      </c>
      <c r="V299" s="40">
        <v>6.11</v>
      </c>
      <c r="W299" s="84" t="s">
        <v>127</v>
      </c>
      <c r="X299" s="35">
        <f t="shared" si="69"/>
        <v>34</v>
      </c>
      <c r="Y299" s="36">
        <f t="shared" si="70"/>
        <v>2.2157823712426072</v>
      </c>
      <c r="Z299" s="34">
        <v>2.62</v>
      </c>
      <c r="AA299" s="40">
        <v>541</v>
      </c>
      <c r="AB299" s="128">
        <v>77.8</v>
      </c>
      <c r="AC299" s="40">
        <v>5.89</v>
      </c>
      <c r="AD299" s="40">
        <v>57.7</v>
      </c>
      <c r="AE299" s="128">
        <v>14.3</v>
      </c>
      <c r="AF299" s="40">
        <v>1.92</v>
      </c>
      <c r="AG299" s="41">
        <v>87.1</v>
      </c>
      <c r="AH299" s="40">
        <v>22</v>
      </c>
      <c r="AI299" s="41">
        <v>1.94</v>
      </c>
      <c r="AJ299" s="40">
        <v>2540</v>
      </c>
      <c r="AK299" s="40">
        <v>26.7</v>
      </c>
      <c r="AL299" s="40">
        <v>35.5</v>
      </c>
      <c r="AM299" s="40">
        <v>16.8</v>
      </c>
      <c r="AN299" s="40">
        <v>42.6</v>
      </c>
      <c r="AO299" s="130" t="s">
        <v>134</v>
      </c>
      <c r="AP299" s="39" t="s">
        <v>69</v>
      </c>
      <c r="AQ299" s="40">
        <f t="shared" si="71"/>
        <v>81.381912801309852</v>
      </c>
      <c r="AR299" s="41">
        <f t="shared" si="81"/>
        <v>13.24</v>
      </c>
      <c r="AS299" s="37">
        <f t="shared" si="72"/>
        <v>266.54344917981172</v>
      </c>
      <c r="AT299" s="42">
        <f t="shared" si="73"/>
        <v>4355</v>
      </c>
      <c r="AU299" s="31">
        <f t="shared" si="74"/>
        <v>2723</v>
      </c>
      <c r="AV299" s="31">
        <f t="shared" si="75"/>
        <v>8.8139255696383554</v>
      </c>
      <c r="AW299" s="37">
        <f t="shared" si="76"/>
        <v>5799.9964496294888</v>
      </c>
      <c r="AX299" s="31">
        <f t="shared" si="77"/>
        <v>81.381912801309852</v>
      </c>
      <c r="AY299" s="42">
        <f t="shared" si="78"/>
        <v>4934.796883259186</v>
      </c>
      <c r="AZ299" s="42">
        <f t="shared" si="82"/>
        <v>451239.72378117422</v>
      </c>
      <c r="BA299" s="42">
        <f t="shared" si="79"/>
        <v>4837.1828567782422</v>
      </c>
      <c r="BB299" s="42">
        <f t="shared" si="80"/>
        <v>1100</v>
      </c>
      <c r="BC299" s="38">
        <f t="shared" si="83"/>
        <v>12.65</v>
      </c>
      <c r="BD299" s="38">
        <f t="shared" si="84"/>
        <v>34.189189189189193</v>
      </c>
      <c r="BE299" s="38">
        <f t="shared" si="85"/>
        <v>5.1429999999999998</v>
      </c>
      <c r="BH299" s="34">
        <v>37.6</v>
      </c>
      <c r="BI299" s="43">
        <v>2.15</v>
      </c>
    </row>
    <row r="300" spans="14:61">
      <c r="N300" s="30" t="s">
        <v>513</v>
      </c>
      <c r="O300" s="40">
        <v>14.1</v>
      </c>
      <c r="P300" s="128">
        <v>13.8</v>
      </c>
      <c r="Q300" s="128">
        <v>0.34</v>
      </c>
      <c r="R300" s="128">
        <v>8.0299999999999994</v>
      </c>
      <c r="S300" s="128">
        <v>0.59499999999999997</v>
      </c>
      <c r="T300" s="40">
        <v>1.19</v>
      </c>
      <c r="U300" s="129">
        <v>1</v>
      </c>
      <c r="V300" s="40">
        <v>6.75</v>
      </c>
      <c r="W300" s="84" t="s">
        <v>127</v>
      </c>
      <c r="X300" s="35">
        <f t="shared" si="69"/>
        <v>37.088235294117645</v>
      </c>
      <c r="Y300" s="36">
        <f t="shared" si="70"/>
        <v>2.1987062370423924</v>
      </c>
      <c r="Z300" s="34">
        <v>2.89</v>
      </c>
      <c r="AA300" s="40">
        <v>484</v>
      </c>
      <c r="AB300" s="128">
        <v>70.2</v>
      </c>
      <c r="AC300" s="40">
        <v>5.85</v>
      </c>
      <c r="AD300" s="40">
        <v>51.4</v>
      </c>
      <c r="AE300" s="128">
        <v>12.8</v>
      </c>
      <c r="AF300" s="40">
        <v>1.91</v>
      </c>
      <c r="AG300" s="41">
        <v>78.400000000000006</v>
      </c>
      <c r="AH300" s="40">
        <v>19.600000000000001</v>
      </c>
      <c r="AI300" s="41">
        <v>1.45</v>
      </c>
      <c r="AJ300" s="40">
        <v>2240</v>
      </c>
      <c r="AK300" s="40">
        <v>26.5</v>
      </c>
      <c r="AL300" s="40">
        <v>31.6</v>
      </c>
      <c r="AM300" s="40">
        <v>15.1</v>
      </c>
      <c r="AN300" s="40">
        <v>38.299999999999997</v>
      </c>
      <c r="AO300" s="130" t="s">
        <v>134</v>
      </c>
      <c r="AP300" s="39" t="s">
        <v>69</v>
      </c>
      <c r="AQ300" s="40">
        <f t="shared" si="71"/>
        <v>80.958048672136357</v>
      </c>
      <c r="AR300" s="41">
        <f t="shared" si="81"/>
        <v>13.205</v>
      </c>
      <c r="AS300" s="37">
        <f t="shared" si="72"/>
        <v>252.9602515278749</v>
      </c>
      <c r="AT300" s="42">
        <f t="shared" si="73"/>
        <v>3920.0000000000005</v>
      </c>
      <c r="AU300" s="31">
        <f t="shared" si="74"/>
        <v>2457</v>
      </c>
      <c r="AV300" s="31">
        <f t="shared" si="75"/>
        <v>8.5057050183656422</v>
      </c>
      <c r="AW300" s="37">
        <f t="shared" si="76"/>
        <v>5707.712830543438</v>
      </c>
      <c r="AX300" s="31">
        <f t="shared" si="77"/>
        <v>80.958048672136357</v>
      </c>
      <c r="AY300" s="42">
        <f t="shared" si="78"/>
        <v>4475.9162825811763</v>
      </c>
      <c r="AZ300" s="42">
        <f t="shared" si="82"/>
        <v>400681.44070414937</v>
      </c>
      <c r="BA300" s="42">
        <f t="shared" si="79"/>
        <v>4352.2509310456926</v>
      </c>
      <c r="BB300" s="42">
        <f t="shared" si="80"/>
        <v>980.00000000000011</v>
      </c>
      <c r="BC300" s="38">
        <f t="shared" si="83"/>
        <v>12.610000000000001</v>
      </c>
      <c r="BD300" s="38">
        <f t="shared" si="84"/>
        <v>37.088235294117645</v>
      </c>
      <c r="BE300" s="38">
        <f t="shared" si="85"/>
        <v>4.6920000000000002</v>
      </c>
      <c r="BH300" s="34">
        <v>40.6</v>
      </c>
      <c r="BI300" s="43">
        <v>2.13</v>
      </c>
    </row>
    <row r="301" spans="14:61">
      <c r="N301" s="30" t="s">
        <v>514</v>
      </c>
      <c r="O301" s="40">
        <v>12.6</v>
      </c>
      <c r="P301" s="128">
        <v>13.7</v>
      </c>
      <c r="Q301" s="128">
        <v>0.30499999999999999</v>
      </c>
      <c r="R301" s="128">
        <v>8</v>
      </c>
      <c r="S301" s="128">
        <v>0.53</v>
      </c>
      <c r="T301" s="40">
        <v>1.1200000000000001</v>
      </c>
      <c r="U301" s="129">
        <v>1</v>
      </c>
      <c r="V301" s="40">
        <v>7.54</v>
      </c>
      <c r="W301" s="84" t="s">
        <v>127</v>
      </c>
      <c r="X301" s="35">
        <f t="shared" si="69"/>
        <v>41.442622950819668</v>
      </c>
      <c r="Y301" s="36">
        <f t="shared" si="70"/>
        <v>2.1805193273028363</v>
      </c>
      <c r="Z301" s="34">
        <v>3.22</v>
      </c>
      <c r="AA301" s="40">
        <v>428</v>
      </c>
      <c r="AB301" s="128">
        <v>62.6</v>
      </c>
      <c r="AC301" s="40">
        <v>5.82</v>
      </c>
      <c r="AD301" s="40">
        <v>45.2</v>
      </c>
      <c r="AE301" s="128">
        <v>11.3</v>
      </c>
      <c r="AF301" s="40">
        <v>1.89</v>
      </c>
      <c r="AG301" s="41">
        <v>69.599999999999994</v>
      </c>
      <c r="AH301" s="40">
        <v>17.3</v>
      </c>
      <c r="AI301" s="41">
        <v>1.05</v>
      </c>
      <c r="AJ301" s="40">
        <v>1950</v>
      </c>
      <c r="AK301" s="40">
        <v>26.2</v>
      </c>
      <c r="AL301" s="40">
        <v>27.8</v>
      </c>
      <c r="AM301" s="40">
        <v>13.4</v>
      </c>
      <c r="AN301" s="40">
        <v>33.9</v>
      </c>
      <c r="AO301" s="130" t="s">
        <v>134</v>
      </c>
      <c r="AP301" s="39" t="s">
        <v>69</v>
      </c>
      <c r="AQ301" s="40">
        <f t="shared" si="71"/>
        <v>80.110320413789381</v>
      </c>
      <c r="AR301" s="41">
        <f t="shared" si="81"/>
        <v>13.17</v>
      </c>
      <c r="AS301" s="37">
        <f t="shared" si="72"/>
        <v>240.50458741243241</v>
      </c>
      <c r="AT301" s="42">
        <f t="shared" si="73"/>
        <v>3479.9999999999995</v>
      </c>
      <c r="AU301" s="31">
        <f t="shared" si="74"/>
        <v>2191</v>
      </c>
      <c r="AV301" s="31">
        <f t="shared" si="75"/>
        <v>8.0364468389066843</v>
      </c>
      <c r="AW301" s="37">
        <f t="shared" si="76"/>
        <v>5610.728627250769</v>
      </c>
      <c r="AX301" s="31">
        <f t="shared" si="77"/>
        <v>80.110320413789381</v>
      </c>
      <c r="AY301" s="42">
        <f t="shared" si="78"/>
        <v>3998.4337605662545</v>
      </c>
      <c r="AZ301" s="42">
        <f t="shared" si="82"/>
        <v>351231.61206589814</v>
      </c>
      <c r="BA301" s="42">
        <f t="shared" si="79"/>
        <v>3860.8417294038932</v>
      </c>
      <c r="BB301" s="42">
        <f t="shared" si="80"/>
        <v>865</v>
      </c>
      <c r="BC301" s="38">
        <f t="shared" si="83"/>
        <v>12.579999999999998</v>
      </c>
      <c r="BD301" s="38">
        <f t="shared" si="84"/>
        <v>41.245901639344261</v>
      </c>
      <c r="BE301" s="38">
        <f t="shared" si="85"/>
        <v>4.1784999999999997</v>
      </c>
      <c r="BH301" s="34">
        <v>44.8</v>
      </c>
      <c r="BI301" s="43">
        <v>2.12</v>
      </c>
    </row>
    <row r="302" spans="14:61">
      <c r="N302" s="30" t="s">
        <v>515</v>
      </c>
      <c r="O302" s="40">
        <v>11.2</v>
      </c>
      <c r="P302" s="128">
        <v>14.1</v>
      </c>
      <c r="Q302" s="128">
        <v>0.31</v>
      </c>
      <c r="R302" s="128">
        <v>6.77</v>
      </c>
      <c r="S302" s="128">
        <v>0.51500000000000001</v>
      </c>
      <c r="T302" s="40">
        <v>0.91500000000000004</v>
      </c>
      <c r="U302" s="132">
        <v>0.8125</v>
      </c>
      <c r="V302" s="40">
        <v>6.57</v>
      </c>
      <c r="W302" s="84" t="s">
        <v>127</v>
      </c>
      <c r="X302" s="35">
        <f t="shared" si="69"/>
        <v>42.161290322580648</v>
      </c>
      <c r="Y302" s="36">
        <f t="shared" si="70"/>
        <v>1.8225276795860037</v>
      </c>
      <c r="Z302" s="34">
        <v>4.04</v>
      </c>
      <c r="AA302" s="40">
        <v>385</v>
      </c>
      <c r="AB302" s="128">
        <v>54.6</v>
      </c>
      <c r="AC302" s="40">
        <v>5.87</v>
      </c>
      <c r="AD302" s="40">
        <v>26.7</v>
      </c>
      <c r="AE302" s="128">
        <v>7.88</v>
      </c>
      <c r="AF302" s="40">
        <v>1.55</v>
      </c>
      <c r="AG302" s="41">
        <v>61.5</v>
      </c>
      <c r="AH302" s="40">
        <v>12.1</v>
      </c>
      <c r="AI302" s="41">
        <v>0.79800000000000004</v>
      </c>
      <c r="AJ302" s="40">
        <v>1230</v>
      </c>
      <c r="AK302" s="40">
        <v>23</v>
      </c>
      <c r="AL302" s="40">
        <v>20</v>
      </c>
      <c r="AM302" s="40">
        <v>11.3</v>
      </c>
      <c r="AN302" s="40">
        <v>30.3</v>
      </c>
      <c r="AO302" s="130" t="s">
        <v>516</v>
      </c>
      <c r="AP302" s="39" t="s">
        <v>204</v>
      </c>
      <c r="AQ302" s="40">
        <f t="shared" si="71"/>
        <v>65.698940021890778</v>
      </c>
      <c r="AR302" s="41">
        <f t="shared" si="81"/>
        <v>13.584999999999999</v>
      </c>
      <c r="AS302" s="37">
        <f t="shared" si="72"/>
        <v>195.17466448076786</v>
      </c>
      <c r="AT302" s="42">
        <f t="shared" si="73"/>
        <v>3075</v>
      </c>
      <c r="AU302" s="31">
        <f t="shared" si="74"/>
        <v>1911</v>
      </c>
      <c r="AV302" s="31">
        <f t="shared" si="75"/>
        <v>8.9901022362666847</v>
      </c>
      <c r="AW302" s="37">
        <f t="shared" si="76"/>
        <v>3921.7266572769895</v>
      </c>
      <c r="AX302" s="31">
        <f t="shared" si="77"/>
        <v>65.698940021890778</v>
      </c>
      <c r="AY302" s="42">
        <f t="shared" si="78"/>
        <v>3525.3945927253908</v>
      </c>
      <c r="AZ302" s="42">
        <f t="shared" si="82"/>
        <v>214126.27548732364</v>
      </c>
      <c r="BA302" s="42">
        <f t="shared" si="79"/>
        <v>3418.9098316727172</v>
      </c>
      <c r="BB302" s="42">
        <f t="shared" si="80"/>
        <v>605</v>
      </c>
      <c r="BC302" s="38">
        <f t="shared" si="83"/>
        <v>13.184999999999999</v>
      </c>
      <c r="BD302" s="38">
        <f t="shared" si="84"/>
        <v>42.532258064516128</v>
      </c>
      <c r="BE302" s="38">
        <f t="shared" si="85"/>
        <v>4.3709999999999996</v>
      </c>
      <c r="BH302" s="34">
        <v>45.5</v>
      </c>
      <c r="BI302" s="43">
        <v>1.77</v>
      </c>
    </row>
    <row r="303" spans="14:61">
      <c r="N303" s="30" t="s">
        <v>517</v>
      </c>
      <c r="O303" s="40">
        <v>10</v>
      </c>
      <c r="P303" s="128">
        <v>14</v>
      </c>
      <c r="Q303" s="128">
        <v>0.28499999999999998</v>
      </c>
      <c r="R303" s="128">
        <v>6.75</v>
      </c>
      <c r="S303" s="128">
        <v>0.45500000000000002</v>
      </c>
      <c r="T303" s="40">
        <v>0.85499999999999998</v>
      </c>
      <c r="U303" s="132">
        <v>0.75</v>
      </c>
      <c r="V303" s="40">
        <v>7.41</v>
      </c>
      <c r="W303" s="84" t="s">
        <v>127</v>
      </c>
      <c r="X303" s="35">
        <f t="shared" si="69"/>
        <v>45.929824561403514</v>
      </c>
      <c r="Y303" s="36">
        <f t="shared" si="70"/>
        <v>1.8019151334477848</v>
      </c>
      <c r="Z303" s="34">
        <v>4.5599999999999996</v>
      </c>
      <c r="AA303" s="40">
        <v>340</v>
      </c>
      <c r="AB303" s="128">
        <v>48.6</v>
      </c>
      <c r="AC303" s="40">
        <v>5.83</v>
      </c>
      <c r="AD303" s="40">
        <v>23.3</v>
      </c>
      <c r="AE303" s="128">
        <v>6.91</v>
      </c>
      <c r="AF303" s="40">
        <v>1.53</v>
      </c>
      <c r="AG303" s="41">
        <v>54.6</v>
      </c>
      <c r="AH303" s="40">
        <v>10.6</v>
      </c>
      <c r="AI303" s="41">
        <v>0.56899999999999995</v>
      </c>
      <c r="AJ303" s="40">
        <v>1070</v>
      </c>
      <c r="AK303" s="40">
        <v>22.8</v>
      </c>
      <c r="AL303" s="40">
        <v>17.5</v>
      </c>
      <c r="AM303" s="40">
        <v>9.94</v>
      </c>
      <c r="AN303" s="40">
        <v>26.8</v>
      </c>
      <c r="AO303" s="130" t="s">
        <v>516</v>
      </c>
      <c r="AP303" s="39" t="s">
        <v>204</v>
      </c>
      <c r="AQ303" s="40">
        <f t="shared" si="71"/>
        <v>64.851211763543787</v>
      </c>
      <c r="AR303" s="41">
        <f t="shared" si="81"/>
        <v>13.545</v>
      </c>
      <c r="AS303" s="37">
        <f t="shared" si="72"/>
        <v>186.85451178817848</v>
      </c>
      <c r="AT303" s="42">
        <f t="shared" si="73"/>
        <v>2730</v>
      </c>
      <c r="AU303" s="31">
        <f t="shared" si="74"/>
        <v>1701</v>
      </c>
      <c r="AV303" s="31">
        <f t="shared" si="75"/>
        <v>8.4341980896600841</v>
      </c>
      <c r="AW303" s="37">
        <f t="shared" si="76"/>
        <v>3831.4334616637311</v>
      </c>
      <c r="AX303" s="31">
        <f t="shared" si="77"/>
        <v>64.851211763543787</v>
      </c>
      <c r="AY303" s="42">
        <f t="shared" si="78"/>
        <v>3145.3944761695252</v>
      </c>
      <c r="AZ303" s="42">
        <f t="shared" si="82"/>
        <v>186207.66623685733</v>
      </c>
      <c r="BA303" s="42">
        <f t="shared" si="79"/>
        <v>3034.0233821230463</v>
      </c>
      <c r="BB303" s="42">
        <f t="shared" si="80"/>
        <v>530</v>
      </c>
      <c r="BC303" s="38">
        <f t="shared" si="83"/>
        <v>13.145</v>
      </c>
      <c r="BD303" s="38">
        <f t="shared" si="84"/>
        <v>46.122807017543863</v>
      </c>
      <c r="BE303" s="38">
        <f t="shared" si="85"/>
        <v>3.9899999999999998</v>
      </c>
      <c r="BH303" s="34">
        <v>49.1</v>
      </c>
      <c r="BI303" s="43">
        <v>1.76</v>
      </c>
    </row>
    <row r="304" spans="14:61">
      <c r="N304" s="30" t="s">
        <v>518</v>
      </c>
      <c r="O304" s="40">
        <v>8.85</v>
      </c>
      <c r="P304" s="128">
        <v>13.8</v>
      </c>
      <c r="Q304" s="128">
        <v>0.27</v>
      </c>
      <c r="R304" s="128">
        <v>6.73</v>
      </c>
      <c r="S304" s="128">
        <v>0.38500000000000001</v>
      </c>
      <c r="T304" s="40">
        <v>0.78500000000000003</v>
      </c>
      <c r="U304" s="132">
        <v>0.75</v>
      </c>
      <c r="V304" s="40">
        <v>8.74</v>
      </c>
      <c r="W304" s="34">
        <v>55.3</v>
      </c>
      <c r="X304" s="35">
        <f t="shared" si="69"/>
        <v>48.25925925925926</v>
      </c>
      <c r="Y304" s="36">
        <f t="shared" si="70"/>
        <v>1.7692277034533082</v>
      </c>
      <c r="Z304" s="34">
        <v>5.34</v>
      </c>
      <c r="AA304" s="40">
        <v>291</v>
      </c>
      <c r="AB304" s="128">
        <v>42</v>
      </c>
      <c r="AC304" s="40">
        <v>5.73</v>
      </c>
      <c r="AD304" s="40">
        <v>19.600000000000001</v>
      </c>
      <c r="AE304" s="128">
        <v>5.82</v>
      </c>
      <c r="AF304" s="40">
        <v>1.49</v>
      </c>
      <c r="AG304" s="41">
        <v>47.3</v>
      </c>
      <c r="AH304" s="40">
        <v>8.99</v>
      </c>
      <c r="AI304" s="41">
        <v>0.38</v>
      </c>
      <c r="AJ304" s="40">
        <v>887</v>
      </c>
      <c r="AK304" s="40">
        <v>22.6</v>
      </c>
      <c r="AL304" s="40">
        <v>14.7</v>
      </c>
      <c r="AM304" s="40">
        <v>8.3699999999999992</v>
      </c>
      <c r="AN304" s="40">
        <v>23.2</v>
      </c>
      <c r="AO304" s="130" t="s">
        <v>516</v>
      </c>
      <c r="AP304" s="39" t="s">
        <v>204</v>
      </c>
      <c r="AQ304" s="40">
        <f t="shared" si="71"/>
        <v>63.155755246849829</v>
      </c>
      <c r="AR304" s="41">
        <f t="shared" si="81"/>
        <v>13.415000000000001</v>
      </c>
      <c r="AS304" s="37">
        <f t="shared" si="72"/>
        <v>178.15159932243006</v>
      </c>
      <c r="AT304" s="42">
        <f t="shared" si="73"/>
        <v>2365</v>
      </c>
      <c r="AU304" s="31">
        <f t="shared" si="74"/>
        <v>1470</v>
      </c>
      <c r="AV304" s="31">
        <f t="shared" si="75"/>
        <v>7.7828899574124373</v>
      </c>
      <c r="AW304" s="37">
        <f t="shared" si="76"/>
        <v>3691.9164084340837</v>
      </c>
      <c r="AX304" s="31">
        <f t="shared" si="77"/>
        <v>63.155755246849829</v>
      </c>
      <c r="AY304" s="42">
        <f t="shared" si="78"/>
        <v>2735.1212099278714</v>
      </c>
      <c r="AZ304" s="42">
        <f t="shared" si="82"/>
        <v>155060.4891542315</v>
      </c>
      <c r="BA304" s="42">
        <f t="shared" si="79"/>
        <v>2629.4323877552251</v>
      </c>
      <c r="BB304" s="42">
        <f t="shared" si="80"/>
        <v>449.5</v>
      </c>
      <c r="BC304" s="38">
        <f t="shared" si="83"/>
        <v>13.015000000000001</v>
      </c>
      <c r="BD304" s="38">
        <f t="shared" si="84"/>
        <v>48.203703703703702</v>
      </c>
      <c r="BE304" s="38">
        <f t="shared" si="85"/>
        <v>3.7260000000000004</v>
      </c>
      <c r="BH304" s="34">
        <v>51.3</v>
      </c>
      <c r="BI304" s="43">
        <v>1.74</v>
      </c>
    </row>
    <row r="305" spans="14:61">
      <c r="N305" s="30" t="s">
        <v>519</v>
      </c>
      <c r="O305" s="40">
        <v>7.69</v>
      </c>
      <c r="P305" s="128">
        <v>13.9</v>
      </c>
      <c r="Q305" s="128">
        <v>0.255</v>
      </c>
      <c r="R305" s="128">
        <v>5.03</v>
      </c>
      <c r="S305" s="128">
        <v>0.42</v>
      </c>
      <c r="T305" s="40">
        <v>0.82</v>
      </c>
      <c r="U305" s="132">
        <v>0.75</v>
      </c>
      <c r="V305" s="40">
        <v>5.98</v>
      </c>
      <c r="W305" s="84" t="s">
        <v>127</v>
      </c>
      <c r="X305" s="35">
        <f t="shared" si="69"/>
        <v>51.215686274509807</v>
      </c>
      <c r="Y305" s="36">
        <f t="shared" si="70"/>
        <v>1.3043118728879126</v>
      </c>
      <c r="Z305" s="34">
        <v>6.59</v>
      </c>
      <c r="AA305" s="40">
        <v>245</v>
      </c>
      <c r="AB305" s="128">
        <v>35.299999999999997</v>
      </c>
      <c r="AC305" s="40">
        <v>5.65</v>
      </c>
      <c r="AD305" s="40">
        <v>8.91</v>
      </c>
      <c r="AE305" s="128">
        <v>3.55</v>
      </c>
      <c r="AF305" s="40">
        <v>1.08</v>
      </c>
      <c r="AG305" s="41">
        <v>40.200000000000003</v>
      </c>
      <c r="AH305" s="40">
        <v>5.54</v>
      </c>
      <c r="AI305" s="41">
        <v>0.35799999999999998</v>
      </c>
      <c r="AJ305" s="40">
        <v>405</v>
      </c>
      <c r="AK305" s="40">
        <v>16.899999999999999</v>
      </c>
      <c r="AL305" s="40">
        <v>8.94</v>
      </c>
      <c r="AM305" s="40">
        <v>6.76</v>
      </c>
      <c r="AN305" s="40">
        <v>19.7</v>
      </c>
      <c r="AO305" s="130" t="s">
        <v>516</v>
      </c>
      <c r="AP305" s="39" t="s">
        <v>181</v>
      </c>
      <c r="AQ305" s="40">
        <f t="shared" si="71"/>
        <v>45.777325950736795</v>
      </c>
      <c r="AR305" s="41">
        <f t="shared" si="81"/>
        <v>13.48</v>
      </c>
      <c r="AS305" s="37">
        <f t="shared" si="72"/>
        <v>132.93655042581781</v>
      </c>
      <c r="AT305" s="42">
        <f t="shared" si="73"/>
        <v>2010.0000000000002</v>
      </c>
      <c r="AU305" s="31">
        <f t="shared" si="74"/>
        <v>1235.5</v>
      </c>
      <c r="AV305" s="31">
        <f t="shared" si="75"/>
        <v>8.8860359263686561</v>
      </c>
      <c r="AW305" s="37">
        <f t="shared" si="76"/>
        <v>2010.8340511687568</v>
      </c>
      <c r="AX305" s="31">
        <f t="shared" si="77"/>
        <v>45.777325950736795</v>
      </c>
      <c r="AY305" s="42">
        <f t="shared" si="78"/>
        <v>2278.1568025599845</v>
      </c>
      <c r="AZ305" s="42">
        <f t="shared" si="82"/>
        <v>70982.442006257115</v>
      </c>
      <c r="BA305" s="42">
        <f t="shared" si="79"/>
        <v>2238.8300383423712</v>
      </c>
      <c r="BB305" s="42">
        <f t="shared" si="80"/>
        <v>277</v>
      </c>
      <c r="BC305" s="38">
        <f t="shared" si="83"/>
        <v>13.08</v>
      </c>
      <c r="BD305" s="38">
        <f t="shared" si="84"/>
        <v>51.294117647058826</v>
      </c>
      <c r="BE305" s="38">
        <f t="shared" si="85"/>
        <v>3.5445000000000002</v>
      </c>
      <c r="BH305" s="34">
        <v>54.5</v>
      </c>
      <c r="BI305" s="43">
        <v>1.28</v>
      </c>
    </row>
    <row r="306" spans="14:61">
      <c r="N306" s="30" t="s">
        <v>520</v>
      </c>
      <c r="O306" s="40">
        <v>6.49</v>
      </c>
      <c r="P306" s="128">
        <v>13.7</v>
      </c>
      <c r="Q306" s="128">
        <v>0.23</v>
      </c>
      <c r="R306" s="128">
        <v>5</v>
      </c>
      <c r="S306" s="128">
        <v>0.33500000000000002</v>
      </c>
      <c r="T306" s="40">
        <v>0.73499999999999999</v>
      </c>
      <c r="U306" s="132">
        <v>0.75</v>
      </c>
      <c r="V306" s="40">
        <v>7.46</v>
      </c>
      <c r="W306" s="84" t="s">
        <v>127</v>
      </c>
      <c r="X306" s="35">
        <f t="shared" si="69"/>
        <v>56.65217391304347</v>
      </c>
      <c r="Y306" s="36">
        <f t="shared" si="70"/>
        <v>1.2700461571845767</v>
      </c>
      <c r="Z306" s="34">
        <v>8.1999999999999993</v>
      </c>
      <c r="AA306" s="40">
        <v>199</v>
      </c>
      <c r="AB306" s="128">
        <v>29</v>
      </c>
      <c r="AC306" s="40">
        <v>5.54</v>
      </c>
      <c r="AD306" s="40">
        <v>7</v>
      </c>
      <c r="AE306" s="128">
        <v>2.8</v>
      </c>
      <c r="AF306" s="40">
        <v>1.04</v>
      </c>
      <c r="AG306" s="41">
        <v>33.200000000000003</v>
      </c>
      <c r="AH306" s="40">
        <v>4.3899999999999997</v>
      </c>
      <c r="AI306" s="41">
        <v>0.20799999999999999</v>
      </c>
      <c r="AJ306" s="40">
        <v>314</v>
      </c>
      <c r="AK306" s="40">
        <v>16.8</v>
      </c>
      <c r="AL306" s="40">
        <v>7.02</v>
      </c>
      <c r="AM306" s="40">
        <v>5.36</v>
      </c>
      <c r="AN306" s="40">
        <v>16.100000000000001</v>
      </c>
      <c r="AO306" s="130" t="s">
        <v>516</v>
      </c>
      <c r="AP306" s="39" t="s">
        <v>181</v>
      </c>
      <c r="AQ306" s="40">
        <f t="shared" si="71"/>
        <v>44.081869434042837</v>
      </c>
      <c r="AR306" s="41">
        <f t="shared" si="81"/>
        <v>13.364999999999998</v>
      </c>
      <c r="AS306" s="37">
        <f t="shared" si="72"/>
        <v>125.1595851679231</v>
      </c>
      <c r="AT306" s="42">
        <f t="shared" si="73"/>
        <v>1660.0000000000002</v>
      </c>
      <c r="AU306" s="31">
        <f t="shared" si="74"/>
        <v>1015</v>
      </c>
      <c r="AV306" s="31">
        <f t="shared" si="75"/>
        <v>7.9553301935277823</v>
      </c>
      <c r="AW306" s="37">
        <f t="shared" si="76"/>
        <v>1904.6016348774679</v>
      </c>
      <c r="AX306" s="31">
        <f t="shared" si="77"/>
        <v>44.081869434042837</v>
      </c>
      <c r="AY306" s="42">
        <f t="shared" si="78"/>
        <v>1886.5826758767573</v>
      </c>
      <c r="AZ306" s="42">
        <f t="shared" si="82"/>
        <v>55233.44741144657</v>
      </c>
      <c r="BA306" s="42">
        <f t="shared" si="79"/>
        <v>1850.5685922928719</v>
      </c>
      <c r="BB306" s="42">
        <f t="shared" si="80"/>
        <v>219.49999999999997</v>
      </c>
      <c r="BC306" s="38">
        <f t="shared" si="83"/>
        <v>12.965</v>
      </c>
      <c r="BD306" s="38">
        <f t="shared" si="84"/>
        <v>56.369565217391305</v>
      </c>
      <c r="BE306" s="38">
        <f t="shared" si="85"/>
        <v>3.1509999999999998</v>
      </c>
      <c r="BH306" s="34">
        <v>59.7</v>
      </c>
      <c r="BI306" s="43">
        <v>1.25</v>
      </c>
    </row>
    <row r="307" spans="14:61">
      <c r="N307" s="30" t="s">
        <v>521</v>
      </c>
      <c r="O307" s="40">
        <v>98.8</v>
      </c>
      <c r="P307" s="128">
        <v>16.8</v>
      </c>
      <c r="Q307" s="128">
        <v>1.78</v>
      </c>
      <c r="R307" s="128">
        <v>13.4</v>
      </c>
      <c r="S307" s="128">
        <v>2.96</v>
      </c>
      <c r="T307" s="40">
        <v>3.55</v>
      </c>
      <c r="U307" s="145">
        <v>1.6875</v>
      </c>
      <c r="V307" s="40">
        <v>2.2599999999999998</v>
      </c>
      <c r="W307" s="84" t="s">
        <v>127</v>
      </c>
      <c r="X307" s="35">
        <f t="shared" si="69"/>
        <v>6.1123595505617985</v>
      </c>
      <c r="Y307" s="36">
        <f t="shared" si="70"/>
        <v>4.1290768171976211</v>
      </c>
      <c r="Z307" s="34">
        <v>0.43</v>
      </c>
      <c r="AA307" s="40">
        <v>4060</v>
      </c>
      <c r="AB307" s="128">
        <v>483</v>
      </c>
      <c r="AC307" s="40">
        <v>6.41</v>
      </c>
      <c r="AD307" s="40">
        <v>1190</v>
      </c>
      <c r="AE307" s="128">
        <v>177</v>
      </c>
      <c r="AF307" s="40">
        <v>3.47</v>
      </c>
      <c r="AG307" s="41">
        <v>603</v>
      </c>
      <c r="AH307" s="40">
        <v>274</v>
      </c>
      <c r="AI307" s="41">
        <v>243</v>
      </c>
      <c r="AJ307" s="40">
        <v>57200</v>
      </c>
      <c r="AK307" s="40">
        <v>46.4</v>
      </c>
      <c r="AL307" s="40">
        <v>459</v>
      </c>
      <c r="AM307" s="40">
        <v>119</v>
      </c>
      <c r="AN307" s="40">
        <v>301</v>
      </c>
      <c r="AO307" s="130" t="s">
        <v>153</v>
      </c>
      <c r="AP307" s="39" t="s">
        <v>522</v>
      </c>
      <c r="AQ307" s="40">
        <f t="shared" si="71"/>
        <v>147.08085282320064</v>
      </c>
      <c r="AR307" s="41">
        <f t="shared" si="81"/>
        <v>13.84</v>
      </c>
      <c r="AS307" s="37">
        <f t="shared" si="72"/>
        <v>1800.5178918103907</v>
      </c>
      <c r="AT307" s="42">
        <f t="shared" si="73"/>
        <v>30150</v>
      </c>
      <c r="AU307" s="31">
        <f t="shared" si="74"/>
        <v>16905</v>
      </c>
      <c r="AV307" s="31">
        <f t="shared" si="75"/>
        <v>8.010586244102285</v>
      </c>
      <c r="AW307" s="37">
        <f t="shared" si="76"/>
        <v>20470.070030576644</v>
      </c>
      <c r="AX307" s="31">
        <f t="shared" si="77"/>
        <v>147.08085282320064</v>
      </c>
      <c r="AY307" s="42">
        <f t="shared" si="78"/>
        <v>31203.238710988368</v>
      </c>
      <c r="AZ307" s="42">
        <f t="shared" si="82"/>
        <v>9887043.824768519</v>
      </c>
      <c r="BA307" s="42">
        <f t="shared" si="79"/>
        <v>34063.303883595479</v>
      </c>
      <c r="BB307" s="42">
        <f t="shared" si="80"/>
        <v>13700</v>
      </c>
      <c r="BC307" s="38">
        <f t="shared" si="83"/>
        <v>13.25</v>
      </c>
      <c r="BD307" s="38">
        <f t="shared" si="84"/>
        <v>7.4438202247191008</v>
      </c>
      <c r="BE307" s="38">
        <f t="shared" si="85"/>
        <v>29.904000000000003</v>
      </c>
      <c r="BH307" s="34">
        <v>9.5</v>
      </c>
      <c r="BI307" s="43">
        <v>3.71</v>
      </c>
    </row>
    <row r="308" spans="14:61">
      <c r="N308" s="30" t="s">
        <v>523</v>
      </c>
      <c r="O308" s="40">
        <v>89.6</v>
      </c>
      <c r="P308" s="128">
        <v>16.3</v>
      </c>
      <c r="Q308" s="128">
        <v>1.63</v>
      </c>
      <c r="R308" s="128">
        <v>13.2</v>
      </c>
      <c r="S308" s="128">
        <v>2.71</v>
      </c>
      <c r="T308" s="40">
        <v>3.3</v>
      </c>
      <c r="U308" s="132">
        <v>1.625</v>
      </c>
      <c r="V308" s="40">
        <v>2.4500000000000002</v>
      </c>
      <c r="W308" s="84" t="s">
        <v>127</v>
      </c>
      <c r="X308" s="35">
        <f t="shared" si="69"/>
        <v>6.6748466257668717</v>
      </c>
      <c r="Y308" s="36">
        <f t="shared" si="70"/>
        <v>4.0499042134266627</v>
      </c>
      <c r="Z308" s="34">
        <v>0.46</v>
      </c>
      <c r="AA308" s="40">
        <v>3550</v>
      </c>
      <c r="AB308" s="128">
        <v>435</v>
      </c>
      <c r="AC308" s="40">
        <v>6.29</v>
      </c>
      <c r="AD308" s="40">
        <v>1050</v>
      </c>
      <c r="AE308" s="128">
        <v>159</v>
      </c>
      <c r="AF308" s="40">
        <v>3.42</v>
      </c>
      <c r="AG308" s="41">
        <v>537</v>
      </c>
      <c r="AH308" s="40">
        <v>244</v>
      </c>
      <c r="AI308" s="41">
        <v>185</v>
      </c>
      <c r="AJ308" s="40">
        <v>48700</v>
      </c>
      <c r="AK308" s="40">
        <v>45</v>
      </c>
      <c r="AL308" s="40">
        <v>403</v>
      </c>
      <c r="AM308" s="40">
        <v>107</v>
      </c>
      <c r="AN308" s="40">
        <v>268</v>
      </c>
      <c r="AO308" s="130" t="s">
        <v>153</v>
      </c>
      <c r="AP308" s="39" t="s">
        <v>522</v>
      </c>
      <c r="AQ308" s="40">
        <f t="shared" si="71"/>
        <v>144.96153217733317</v>
      </c>
      <c r="AR308" s="41">
        <f t="shared" si="81"/>
        <v>13.59</v>
      </c>
      <c r="AS308" s="37">
        <f t="shared" si="72"/>
        <v>1639.0779284479386</v>
      </c>
      <c r="AT308" s="42">
        <f t="shared" si="73"/>
        <v>26850</v>
      </c>
      <c r="AU308" s="31">
        <f t="shared" si="74"/>
        <v>15225</v>
      </c>
      <c r="AV308" s="31">
        <f t="shared" si="75"/>
        <v>7.7805183244201199</v>
      </c>
      <c r="AW308" s="37">
        <f t="shared" si="76"/>
        <v>19652.28379430134</v>
      </c>
      <c r="AX308" s="31">
        <f t="shared" si="77"/>
        <v>144.96153217733317</v>
      </c>
      <c r="AY308" s="42">
        <f t="shared" si="78"/>
        <v>27856.499771580802</v>
      </c>
      <c r="AZ308" s="42">
        <f t="shared" si="82"/>
        <v>8548743.4505210835</v>
      </c>
      <c r="BA308" s="42">
        <f t="shared" si="79"/>
        <v>30284.666488999428</v>
      </c>
      <c r="BB308" s="42">
        <f t="shared" si="80"/>
        <v>12200</v>
      </c>
      <c r="BC308" s="38">
        <f t="shared" si="83"/>
        <v>13</v>
      </c>
      <c r="BD308" s="38">
        <f t="shared" si="84"/>
        <v>7.9754601226993866</v>
      </c>
      <c r="BE308" s="38">
        <f t="shared" si="85"/>
        <v>26.568999999999999</v>
      </c>
      <c r="BH308" s="34">
        <v>10</v>
      </c>
      <c r="BI308" s="43">
        <v>3.67</v>
      </c>
    </row>
    <row r="309" spans="14:61">
      <c r="N309" s="30" t="s">
        <v>524</v>
      </c>
      <c r="O309" s="40">
        <v>81.900000000000006</v>
      </c>
      <c r="P309" s="128">
        <v>15.9</v>
      </c>
      <c r="Q309" s="128">
        <v>1.53</v>
      </c>
      <c r="R309" s="128">
        <v>13.1</v>
      </c>
      <c r="S309" s="128">
        <v>2.4700000000000002</v>
      </c>
      <c r="T309" s="40">
        <v>3.07</v>
      </c>
      <c r="U309" s="132">
        <v>1.625</v>
      </c>
      <c r="V309" s="40">
        <v>2.66</v>
      </c>
      <c r="W309" s="84" t="s">
        <v>127</v>
      </c>
      <c r="X309" s="35">
        <f t="shared" si="69"/>
        <v>7.1633986928104578</v>
      </c>
      <c r="Y309" s="36">
        <f t="shared" si="70"/>
        <v>4.0012577539108314</v>
      </c>
      <c r="Z309" s="34">
        <v>0.49</v>
      </c>
      <c r="AA309" s="40">
        <v>3110</v>
      </c>
      <c r="AB309" s="128">
        <v>393</v>
      </c>
      <c r="AC309" s="40">
        <v>6.16</v>
      </c>
      <c r="AD309" s="40">
        <v>937</v>
      </c>
      <c r="AE309" s="128">
        <v>143</v>
      </c>
      <c r="AF309" s="40">
        <v>3.38</v>
      </c>
      <c r="AG309" s="41">
        <v>481</v>
      </c>
      <c r="AH309" s="40">
        <v>220</v>
      </c>
      <c r="AI309" s="41">
        <v>143</v>
      </c>
      <c r="AJ309" s="40">
        <v>41900</v>
      </c>
      <c r="AK309" s="40">
        <v>44</v>
      </c>
      <c r="AL309" s="40">
        <v>357</v>
      </c>
      <c r="AM309" s="40">
        <v>95.9</v>
      </c>
      <c r="AN309" s="40">
        <v>240</v>
      </c>
      <c r="AO309" s="130" t="s">
        <v>153</v>
      </c>
      <c r="AP309" s="39" t="s">
        <v>522</v>
      </c>
      <c r="AQ309" s="40">
        <f t="shared" si="71"/>
        <v>143.26607566063922</v>
      </c>
      <c r="AR309" s="41">
        <f t="shared" si="81"/>
        <v>13.43</v>
      </c>
      <c r="AS309" s="37">
        <f t="shared" si="72"/>
        <v>1507.4203894726199</v>
      </c>
      <c r="AT309" s="42">
        <f t="shared" si="73"/>
        <v>24050</v>
      </c>
      <c r="AU309" s="31">
        <f t="shared" si="74"/>
        <v>13755</v>
      </c>
      <c r="AV309" s="31">
        <f t="shared" si="75"/>
        <v>7.5468001645882303</v>
      </c>
      <c r="AW309" s="37">
        <f t="shared" si="76"/>
        <v>19145.067476727512</v>
      </c>
      <c r="AX309" s="31">
        <f t="shared" si="77"/>
        <v>143.26607566063922</v>
      </c>
      <c r="AY309" s="42">
        <f t="shared" si="78"/>
        <v>25013.470360808045</v>
      </c>
      <c r="AZ309" s="42">
        <f t="shared" si="82"/>
        <v>7524011.518353912</v>
      </c>
      <c r="BA309" s="42">
        <f t="shared" si="79"/>
        <v>27091.711097139709</v>
      </c>
      <c r="BB309" s="42">
        <f t="shared" si="80"/>
        <v>11000</v>
      </c>
      <c r="BC309" s="38">
        <f t="shared" si="83"/>
        <v>12.83</v>
      </c>
      <c r="BD309" s="38">
        <f t="shared" si="84"/>
        <v>8.3856209150326801</v>
      </c>
      <c r="BE309" s="38">
        <f t="shared" si="85"/>
        <v>24.327000000000002</v>
      </c>
      <c r="BH309" s="34">
        <v>10.4</v>
      </c>
      <c r="BI309" s="43">
        <v>3.64</v>
      </c>
    </row>
    <row r="310" spans="14:61">
      <c r="N310" s="30" t="s">
        <v>525</v>
      </c>
      <c r="O310" s="40">
        <v>74</v>
      </c>
      <c r="P310" s="128">
        <v>15.4</v>
      </c>
      <c r="Q310" s="128">
        <v>1.4</v>
      </c>
      <c r="R310" s="128">
        <v>13</v>
      </c>
      <c r="S310" s="128">
        <v>2.25</v>
      </c>
      <c r="T310" s="40">
        <v>2.85</v>
      </c>
      <c r="U310" s="132">
        <v>1.5</v>
      </c>
      <c r="V310" s="40">
        <v>2.89</v>
      </c>
      <c r="W310" s="84" t="s">
        <v>127</v>
      </c>
      <c r="X310" s="35">
        <f t="shared" si="69"/>
        <v>7.7857142857142865</v>
      </c>
      <c r="Y310" s="36">
        <f t="shared" si="70"/>
        <v>3.9271337643884037</v>
      </c>
      <c r="Z310" s="34">
        <v>0.53</v>
      </c>
      <c r="AA310" s="40">
        <v>2720</v>
      </c>
      <c r="AB310" s="128">
        <v>353</v>
      </c>
      <c r="AC310" s="40">
        <v>6.06</v>
      </c>
      <c r="AD310" s="40">
        <v>828</v>
      </c>
      <c r="AE310" s="128">
        <v>127</v>
      </c>
      <c r="AF310" s="40">
        <v>3.34</v>
      </c>
      <c r="AG310" s="41">
        <v>428</v>
      </c>
      <c r="AH310" s="40">
        <v>196</v>
      </c>
      <c r="AI310" s="41">
        <v>108</v>
      </c>
      <c r="AJ310" s="40">
        <v>35800</v>
      </c>
      <c r="AK310" s="40">
        <v>42.8</v>
      </c>
      <c r="AL310" s="40">
        <v>313</v>
      </c>
      <c r="AM310" s="40">
        <v>85.9</v>
      </c>
      <c r="AN310" s="40">
        <v>213</v>
      </c>
      <c r="AO310" s="130" t="s">
        <v>153</v>
      </c>
      <c r="AP310" s="39" t="s">
        <v>522</v>
      </c>
      <c r="AQ310" s="40">
        <f t="shared" si="71"/>
        <v>141.57061914394527</v>
      </c>
      <c r="AR310" s="41">
        <f t="shared" si="81"/>
        <v>13.15</v>
      </c>
      <c r="AS310" s="37">
        <f t="shared" si="72"/>
        <v>1371.8218976649011</v>
      </c>
      <c r="AT310" s="42">
        <f t="shared" si="73"/>
        <v>21400</v>
      </c>
      <c r="AU310" s="31">
        <f t="shared" si="74"/>
        <v>12355</v>
      </c>
      <c r="AV310" s="31">
        <f t="shared" si="75"/>
        <v>7.3521565536385092</v>
      </c>
      <c r="AW310" s="37">
        <f t="shared" si="76"/>
        <v>18411.127174607631</v>
      </c>
      <c r="AX310" s="31">
        <f t="shared" si="77"/>
        <v>141.57061914394527</v>
      </c>
      <c r="AY310" s="42">
        <f t="shared" si="78"/>
        <v>22326.155713105058</v>
      </c>
      <c r="AZ310" s="42">
        <f t="shared" si="82"/>
        <v>6499127.8926364938</v>
      </c>
      <c r="BA310" s="42">
        <f t="shared" si="79"/>
        <v>24072.392119827942</v>
      </c>
      <c r="BB310" s="42">
        <f t="shared" si="80"/>
        <v>9800</v>
      </c>
      <c r="BC310" s="38">
        <f t="shared" si="83"/>
        <v>12.55</v>
      </c>
      <c r="BD310" s="38">
        <f t="shared" si="84"/>
        <v>8.9642857142857153</v>
      </c>
      <c r="BE310" s="38">
        <f t="shared" si="85"/>
        <v>21.56</v>
      </c>
      <c r="BH310" s="34">
        <v>11</v>
      </c>
      <c r="BI310" s="43">
        <v>3.59</v>
      </c>
    </row>
    <row r="311" spans="14:61">
      <c r="N311" s="30" t="s">
        <v>526</v>
      </c>
      <c r="O311" s="40">
        <v>67.7</v>
      </c>
      <c r="P311" s="128">
        <v>15.1</v>
      </c>
      <c r="Q311" s="128">
        <v>1.29</v>
      </c>
      <c r="R311" s="128">
        <v>12.9</v>
      </c>
      <c r="S311" s="128">
        <v>2.0699999999999998</v>
      </c>
      <c r="T311" s="40">
        <v>2.67</v>
      </c>
      <c r="U311" s="132">
        <v>1.5</v>
      </c>
      <c r="V311" s="40">
        <v>3.11</v>
      </c>
      <c r="W311" s="84" t="s">
        <v>127</v>
      </c>
      <c r="X311" s="35">
        <f t="shared" si="69"/>
        <v>8.4961240310077528</v>
      </c>
      <c r="Y311" s="36">
        <f t="shared" si="70"/>
        <v>3.8806694030252467</v>
      </c>
      <c r="Z311" s="34">
        <v>0.56000000000000005</v>
      </c>
      <c r="AA311" s="40">
        <v>2420</v>
      </c>
      <c r="AB311" s="128">
        <v>321</v>
      </c>
      <c r="AC311" s="40">
        <v>5.97</v>
      </c>
      <c r="AD311" s="40">
        <v>742</v>
      </c>
      <c r="AE311" s="128">
        <v>115</v>
      </c>
      <c r="AF311" s="40">
        <v>3.31</v>
      </c>
      <c r="AG311" s="41">
        <v>386</v>
      </c>
      <c r="AH311" s="40">
        <v>177</v>
      </c>
      <c r="AI311" s="41">
        <v>83.8</v>
      </c>
      <c r="AJ311" s="40">
        <v>31300</v>
      </c>
      <c r="AK311" s="40">
        <v>41.8</v>
      </c>
      <c r="AL311" s="40">
        <v>279</v>
      </c>
      <c r="AM311" s="40">
        <v>78</v>
      </c>
      <c r="AN311" s="40">
        <v>192</v>
      </c>
      <c r="AO311" s="130" t="s">
        <v>153</v>
      </c>
      <c r="AP311" s="39" t="s">
        <v>522</v>
      </c>
      <c r="AQ311" s="40">
        <f t="shared" si="71"/>
        <v>140.29902675642481</v>
      </c>
      <c r="AR311" s="41">
        <f t="shared" si="81"/>
        <v>13.03</v>
      </c>
      <c r="AS311" s="37">
        <f t="shared" si="72"/>
        <v>1258.9342964330076</v>
      </c>
      <c r="AT311" s="42">
        <f t="shared" si="73"/>
        <v>19300</v>
      </c>
      <c r="AU311" s="31">
        <f t="shared" si="74"/>
        <v>11235</v>
      </c>
      <c r="AV311" s="31">
        <f t="shared" si="75"/>
        <v>7.2096779161377009</v>
      </c>
      <c r="AW311" s="37">
        <f t="shared" si="76"/>
        <v>17948.454116244804</v>
      </c>
      <c r="AX311" s="31">
        <f t="shared" si="77"/>
        <v>140.29902675642481</v>
      </c>
      <c r="AY311" s="42">
        <f t="shared" si="78"/>
        <v>20199.03981936966</v>
      </c>
      <c r="AZ311" s="42">
        <f t="shared" si="82"/>
        <v>5761453.7713145819</v>
      </c>
      <c r="BA311" s="42">
        <f t="shared" si="79"/>
        <v>21682.846041615518</v>
      </c>
      <c r="BB311" s="42">
        <f t="shared" si="80"/>
        <v>8850</v>
      </c>
      <c r="BC311" s="38">
        <f t="shared" si="83"/>
        <v>12.43</v>
      </c>
      <c r="BD311" s="38">
        <f t="shared" si="84"/>
        <v>9.6356589147286815</v>
      </c>
      <c r="BE311" s="38">
        <f t="shared" si="85"/>
        <v>19.478999999999999</v>
      </c>
      <c r="BH311" s="34">
        <v>11.7</v>
      </c>
      <c r="BI311" s="43">
        <v>3.56</v>
      </c>
    </row>
    <row r="312" spans="14:61">
      <c r="N312" s="30" t="s">
        <v>527</v>
      </c>
      <c r="O312" s="40">
        <v>61.8</v>
      </c>
      <c r="P312" s="128">
        <v>14.7</v>
      </c>
      <c r="Q312" s="128">
        <v>1.18</v>
      </c>
      <c r="R312" s="128">
        <v>12.8</v>
      </c>
      <c r="S312" s="128">
        <v>1.9</v>
      </c>
      <c r="T312" s="40">
        <v>2.5</v>
      </c>
      <c r="U312" s="132">
        <v>1.4375</v>
      </c>
      <c r="V312" s="40">
        <v>3.37</v>
      </c>
      <c r="W312" s="84" t="s">
        <v>127</v>
      </c>
      <c r="X312" s="35">
        <f t="shared" si="69"/>
        <v>9.2372881355932197</v>
      </c>
      <c r="Y312" s="36">
        <f t="shared" si="70"/>
        <v>3.8148951043946471</v>
      </c>
      <c r="Z312" s="34">
        <v>0.61</v>
      </c>
      <c r="AA312" s="40">
        <v>2140</v>
      </c>
      <c r="AB312" s="128">
        <v>292</v>
      </c>
      <c r="AC312" s="40">
        <v>5.89</v>
      </c>
      <c r="AD312" s="40">
        <v>664</v>
      </c>
      <c r="AE312" s="128">
        <v>104</v>
      </c>
      <c r="AF312" s="40">
        <v>3.28</v>
      </c>
      <c r="AG312" s="41">
        <v>348</v>
      </c>
      <c r="AH312" s="40">
        <v>159</v>
      </c>
      <c r="AI312" s="41">
        <v>64.7</v>
      </c>
      <c r="AJ312" s="40">
        <v>27200</v>
      </c>
      <c r="AK312" s="40">
        <v>41</v>
      </c>
      <c r="AL312" s="40">
        <v>249</v>
      </c>
      <c r="AM312" s="40">
        <v>70.599999999999994</v>
      </c>
      <c r="AN312" s="40">
        <v>173</v>
      </c>
      <c r="AO312" s="130" t="s">
        <v>153</v>
      </c>
      <c r="AP312" s="39" t="s">
        <v>522</v>
      </c>
      <c r="AQ312" s="40">
        <f t="shared" si="71"/>
        <v>139.02743436890432</v>
      </c>
      <c r="AR312" s="41">
        <f t="shared" si="81"/>
        <v>12.799999999999999</v>
      </c>
      <c r="AS312" s="37">
        <f t="shared" si="72"/>
        <v>1151.5429860962827</v>
      </c>
      <c r="AT312" s="42">
        <f t="shared" si="73"/>
        <v>17400</v>
      </c>
      <c r="AU312" s="31">
        <f t="shared" si="74"/>
        <v>10220</v>
      </c>
      <c r="AV312" s="31">
        <f t="shared" si="75"/>
        <v>7.0912491050144659</v>
      </c>
      <c r="AW312" s="37">
        <f t="shared" si="76"/>
        <v>17322.539403282226</v>
      </c>
      <c r="AX312" s="31">
        <f t="shared" si="77"/>
        <v>139.02743436890432</v>
      </c>
      <c r="AY312" s="42">
        <f t="shared" si="78"/>
        <v>18275.254683502724</v>
      </c>
      <c r="AZ312" s="42">
        <f t="shared" si="82"/>
        <v>5058181.5057584103</v>
      </c>
      <c r="BA312" s="42">
        <f t="shared" si="79"/>
        <v>19521.368205678787</v>
      </c>
      <c r="BB312" s="42">
        <f t="shared" si="80"/>
        <v>7950</v>
      </c>
      <c r="BC312" s="38">
        <f t="shared" si="83"/>
        <v>12.2</v>
      </c>
      <c r="BD312" s="38">
        <f t="shared" si="84"/>
        <v>10.338983050847457</v>
      </c>
      <c r="BE312" s="38">
        <f t="shared" si="85"/>
        <v>17.345999999999997</v>
      </c>
      <c r="BH312" s="34">
        <v>12.5</v>
      </c>
      <c r="BI312" s="43">
        <v>3.53</v>
      </c>
    </row>
    <row r="313" spans="14:61">
      <c r="N313" s="30" t="s">
        <v>528</v>
      </c>
      <c r="O313" s="40">
        <v>55.8</v>
      </c>
      <c r="P313" s="128">
        <v>14.4</v>
      </c>
      <c r="Q313" s="128">
        <v>1.06</v>
      </c>
      <c r="R313" s="128">
        <v>12.7</v>
      </c>
      <c r="S313" s="128">
        <v>1.74</v>
      </c>
      <c r="T313" s="40">
        <v>2.33</v>
      </c>
      <c r="U313" s="132">
        <v>1.375</v>
      </c>
      <c r="V313" s="40">
        <v>3.65</v>
      </c>
      <c r="W313" s="84" t="s">
        <v>127</v>
      </c>
      <c r="X313" s="35">
        <f t="shared" si="69"/>
        <v>10.30188679245283</v>
      </c>
      <c r="Y313" s="36">
        <f t="shared" si="70"/>
        <v>3.765144324866212</v>
      </c>
      <c r="Z313" s="34">
        <v>0.65</v>
      </c>
      <c r="AA313" s="40">
        <v>1890</v>
      </c>
      <c r="AB313" s="128">
        <v>263</v>
      </c>
      <c r="AC313" s="40">
        <v>5.82</v>
      </c>
      <c r="AD313" s="40">
        <v>589</v>
      </c>
      <c r="AE313" s="128">
        <v>93</v>
      </c>
      <c r="AF313" s="40">
        <v>3.25</v>
      </c>
      <c r="AG313" s="41">
        <v>311</v>
      </c>
      <c r="AH313" s="40">
        <v>143</v>
      </c>
      <c r="AI313" s="41">
        <v>48.8</v>
      </c>
      <c r="AJ313" s="40">
        <v>23500</v>
      </c>
      <c r="AK313" s="40">
        <v>40.1</v>
      </c>
      <c r="AL313" s="40">
        <v>220</v>
      </c>
      <c r="AM313" s="40">
        <v>63.7</v>
      </c>
      <c r="AN313" s="40">
        <v>155</v>
      </c>
      <c r="AO313" s="130" t="s">
        <v>153</v>
      </c>
      <c r="AP313" s="39" t="s">
        <v>522</v>
      </c>
      <c r="AQ313" s="40">
        <f t="shared" si="71"/>
        <v>137.75584198138387</v>
      </c>
      <c r="AR313" s="41">
        <f t="shared" si="81"/>
        <v>12.66</v>
      </c>
      <c r="AS313" s="37">
        <f t="shared" si="72"/>
        <v>1047.4252994756851</v>
      </c>
      <c r="AT313" s="42">
        <f t="shared" si="73"/>
        <v>15550</v>
      </c>
      <c r="AU313" s="31">
        <f t="shared" si="74"/>
        <v>9205</v>
      </c>
      <c r="AV313" s="31">
        <f t="shared" si="75"/>
        <v>6.9750610485234956</v>
      </c>
      <c r="AW313" s="37">
        <f t="shared" si="76"/>
        <v>16849.289364931417</v>
      </c>
      <c r="AX313" s="31">
        <f t="shared" si="77"/>
        <v>137.75584198138387</v>
      </c>
      <c r="AY313" s="42">
        <f t="shared" si="78"/>
        <v>16402.044455253941</v>
      </c>
      <c r="AZ313" s="42">
        <f t="shared" si="82"/>
        <v>4431363.1029769629</v>
      </c>
      <c r="BA313" s="42">
        <f t="shared" si="79"/>
        <v>17424.663128834527</v>
      </c>
      <c r="BB313" s="42">
        <f t="shared" si="80"/>
        <v>7150</v>
      </c>
      <c r="BC313" s="38">
        <f t="shared" si="83"/>
        <v>12.07</v>
      </c>
      <c r="BD313" s="38">
        <f t="shared" si="84"/>
        <v>11.386792452830189</v>
      </c>
      <c r="BE313" s="38">
        <f t="shared" si="85"/>
        <v>15.264000000000001</v>
      </c>
      <c r="BH313" s="34">
        <v>13.6</v>
      </c>
      <c r="BI313" s="43">
        <v>3.5</v>
      </c>
    </row>
    <row r="314" spans="14:61">
      <c r="N314" s="30" t="s">
        <v>529</v>
      </c>
      <c r="O314" s="40">
        <v>50</v>
      </c>
      <c r="P314" s="128">
        <v>14</v>
      </c>
      <c r="Q314" s="128">
        <v>0.96</v>
      </c>
      <c r="R314" s="128">
        <v>12.6</v>
      </c>
      <c r="S314" s="128">
        <v>1.56</v>
      </c>
      <c r="T314" s="40">
        <v>2.16</v>
      </c>
      <c r="U314" s="132">
        <v>1.3125</v>
      </c>
      <c r="V314" s="40">
        <v>4.03</v>
      </c>
      <c r="W314" s="84" t="s">
        <v>127</v>
      </c>
      <c r="X314" s="35">
        <f t="shared" si="69"/>
        <v>11.333333333333332</v>
      </c>
      <c r="Y314" s="36">
        <f t="shared" si="70"/>
        <v>3.6991891003299626</v>
      </c>
      <c r="Z314" s="34">
        <v>0.72</v>
      </c>
      <c r="AA314" s="40">
        <v>1650</v>
      </c>
      <c r="AB314" s="128">
        <v>235</v>
      </c>
      <c r="AC314" s="40">
        <v>5.74</v>
      </c>
      <c r="AD314" s="40">
        <v>517</v>
      </c>
      <c r="AE314" s="128">
        <v>82.3</v>
      </c>
      <c r="AF314" s="40">
        <v>3.22</v>
      </c>
      <c r="AG314" s="41">
        <v>275</v>
      </c>
      <c r="AH314" s="40">
        <v>126</v>
      </c>
      <c r="AI314" s="41">
        <v>35.6</v>
      </c>
      <c r="AJ314" s="40">
        <v>20100</v>
      </c>
      <c r="AK314" s="40">
        <v>39.200000000000003</v>
      </c>
      <c r="AL314" s="40">
        <v>192</v>
      </c>
      <c r="AM314" s="40">
        <v>56.5</v>
      </c>
      <c r="AN314" s="40">
        <v>137</v>
      </c>
      <c r="AO314" s="130" t="s">
        <v>153</v>
      </c>
      <c r="AP314" s="39" t="s">
        <v>522</v>
      </c>
      <c r="AQ314" s="40">
        <f t="shared" si="71"/>
        <v>136.48424959386341</v>
      </c>
      <c r="AR314" s="41">
        <f t="shared" si="81"/>
        <v>12.44</v>
      </c>
      <c r="AS314" s="37">
        <f t="shared" si="72"/>
        <v>940.34018751214796</v>
      </c>
      <c r="AT314" s="42">
        <f t="shared" si="73"/>
        <v>13750</v>
      </c>
      <c r="AU314" s="31">
        <f t="shared" si="74"/>
        <v>8225</v>
      </c>
      <c r="AV314" s="31">
        <f t="shared" si="75"/>
        <v>6.8731220849196992</v>
      </c>
      <c r="AW314" s="37">
        <f t="shared" si="76"/>
        <v>16242.342289696247</v>
      </c>
      <c r="AX314" s="31">
        <f t="shared" si="77"/>
        <v>136.48424959386341</v>
      </c>
      <c r="AY314" s="42">
        <f t="shared" si="78"/>
        <v>14580.852205602529</v>
      </c>
      <c r="AZ314" s="42">
        <f t="shared" si="82"/>
        <v>3816950.4380786181</v>
      </c>
      <c r="BA314" s="42">
        <f t="shared" si="79"/>
        <v>15382.389879718008</v>
      </c>
      <c r="BB314" s="42">
        <f t="shared" si="80"/>
        <v>6300</v>
      </c>
      <c r="BC314" s="38">
        <f t="shared" si="83"/>
        <v>11.84</v>
      </c>
      <c r="BD314" s="38">
        <f t="shared" si="84"/>
        <v>12.333333333333334</v>
      </c>
      <c r="BE314" s="38">
        <f t="shared" si="85"/>
        <v>13.44</v>
      </c>
      <c r="BH314" s="34">
        <v>14.6</v>
      </c>
      <c r="BI314" s="43">
        <v>3.47</v>
      </c>
    </row>
    <row r="315" spans="14:61">
      <c r="N315" s="30" t="s">
        <v>530</v>
      </c>
      <c r="O315" s="40">
        <v>44.7</v>
      </c>
      <c r="P315" s="128">
        <v>13.7</v>
      </c>
      <c r="Q315" s="128">
        <v>0.87</v>
      </c>
      <c r="R315" s="128">
        <v>12.5</v>
      </c>
      <c r="S315" s="128">
        <v>1.4</v>
      </c>
      <c r="T315" s="40">
        <v>2</v>
      </c>
      <c r="U315" s="132">
        <v>1.25</v>
      </c>
      <c r="V315" s="40">
        <v>4.46</v>
      </c>
      <c r="W315" s="84" t="s">
        <v>127</v>
      </c>
      <c r="X315" s="35">
        <f t="shared" si="69"/>
        <v>12.528735632183906</v>
      </c>
      <c r="Y315" s="36">
        <f t="shared" si="70"/>
        <v>3.6550417430640474</v>
      </c>
      <c r="Z315" s="34">
        <v>0.78</v>
      </c>
      <c r="AA315" s="40">
        <v>1430</v>
      </c>
      <c r="AB315" s="128">
        <v>209</v>
      </c>
      <c r="AC315" s="40">
        <v>5.66</v>
      </c>
      <c r="AD315" s="40">
        <v>454</v>
      </c>
      <c r="AE315" s="128">
        <v>72.8</v>
      </c>
      <c r="AF315" s="40">
        <v>3.19</v>
      </c>
      <c r="AG315" s="41">
        <v>243</v>
      </c>
      <c r="AH315" s="40">
        <v>111</v>
      </c>
      <c r="AI315" s="41">
        <v>25.8</v>
      </c>
      <c r="AJ315" s="40">
        <v>17200</v>
      </c>
      <c r="AK315" s="40">
        <v>38.4</v>
      </c>
      <c r="AL315" s="40">
        <v>168</v>
      </c>
      <c r="AM315" s="40">
        <v>50</v>
      </c>
      <c r="AN315" s="40">
        <v>120</v>
      </c>
      <c r="AO315" s="130" t="s">
        <v>153</v>
      </c>
      <c r="AP315" s="39" t="s">
        <v>522</v>
      </c>
      <c r="AQ315" s="40">
        <f t="shared" si="71"/>
        <v>135.21265720634293</v>
      </c>
      <c r="AR315" s="41">
        <f t="shared" si="81"/>
        <v>12.299999999999999</v>
      </c>
      <c r="AS315" s="37">
        <f t="shared" si="72"/>
        <v>846.60023926758379</v>
      </c>
      <c r="AT315" s="42">
        <f t="shared" si="73"/>
        <v>12150</v>
      </c>
      <c r="AU315" s="31">
        <f t="shared" si="74"/>
        <v>7315</v>
      </c>
      <c r="AV315" s="31">
        <f t="shared" si="75"/>
        <v>6.7965763276196345</v>
      </c>
      <c r="AW315" s="37">
        <f t="shared" si="76"/>
        <v>15836.436730820948</v>
      </c>
      <c r="AX315" s="31">
        <f t="shared" si="77"/>
        <v>135.21265720634293</v>
      </c>
      <c r="AY315" s="42">
        <f t="shared" si="78"/>
        <v>12962.956554452312</v>
      </c>
      <c r="AZ315" s="42">
        <f t="shared" si="82"/>
        <v>3309815.2767415782</v>
      </c>
      <c r="BA315" s="42">
        <f t="shared" si="79"/>
        <v>13578.525804241914</v>
      </c>
      <c r="BB315" s="42">
        <f t="shared" si="80"/>
        <v>5550</v>
      </c>
      <c r="BC315" s="38">
        <f t="shared" si="83"/>
        <v>11.7</v>
      </c>
      <c r="BD315" s="38">
        <f t="shared" si="84"/>
        <v>13.448275862068964</v>
      </c>
      <c r="BE315" s="38">
        <f t="shared" si="85"/>
        <v>11.918999999999999</v>
      </c>
      <c r="BH315" s="34">
        <v>15.8</v>
      </c>
      <c r="BI315" s="43">
        <v>3.44</v>
      </c>
    </row>
    <row r="316" spans="14:61">
      <c r="N316" s="30" t="s">
        <v>531</v>
      </c>
      <c r="O316" s="40">
        <v>39.9</v>
      </c>
      <c r="P316" s="128">
        <v>13.4</v>
      </c>
      <c r="Q316" s="128">
        <v>0.79</v>
      </c>
      <c r="R316" s="128">
        <v>12.4</v>
      </c>
      <c r="S316" s="128">
        <v>1.25</v>
      </c>
      <c r="T316" s="40">
        <v>1.85</v>
      </c>
      <c r="U316" s="132">
        <v>1.25</v>
      </c>
      <c r="V316" s="40">
        <v>4.96</v>
      </c>
      <c r="W316" s="84" t="s">
        <v>127</v>
      </c>
      <c r="X316" s="35">
        <f t="shared" si="69"/>
        <v>13.79746835443038</v>
      </c>
      <c r="Y316" s="36">
        <f t="shared" si="70"/>
        <v>3.605439439012545</v>
      </c>
      <c r="Z316" s="34">
        <v>0.87</v>
      </c>
      <c r="AA316" s="40">
        <v>1240</v>
      </c>
      <c r="AB316" s="128">
        <v>186</v>
      </c>
      <c r="AC316" s="40">
        <v>5.58</v>
      </c>
      <c r="AD316" s="40">
        <v>398</v>
      </c>
      <c r="AE316" s="128">
        <v>64.2</v>
      </c>
      <c r="AF316" s="40">
        <v>3.16</v>
      </c>
      <c r="AG316" s="41">
        <v>214</v>
      </c>
      <c r="AH316" s="40">
        <v>98</v>
      </c>
      <c r="AI316" s="41">
        <v>18.5</v>
      </c>
      <c r="AJ316" s="40">
        <v>14700</v>
      </c>
      <c r="AK316" s="40">
        <v>37.700000000000003</v>
      </c>
      <c r="AL316" s="40">
        <v>146</v>
      </c>
      <c r="AM316" s="40">
        <v>44.1</v>
      </c>
      <c r="AN316" s="40">
        <v>106</v>
      </c>
      <c r="AO316" s="130" t="s">
        <v>153</v>
      </c>
      <c r="AP316" s="39" t="s">
        <v>522</v>
      </c>
      <c r="AQ316" s="40">
        <f t="shared" si="71"/>
        <v>133.94106481882247</v>
      </c>
      <c r="AR316" s="41">
        <f t="shared" si="81"/>
        <v>12.15</v>
      </c>
      <c r="AS316" s="37">
        <f t="shared" si="72"/>
        <v>758.48819518781158</v>
      </c>
      <c r="AT316" s="42">
        <f t="shared" si="73"/>
        <v>10700</v>
      </c>
      <c r="AU316" s="31">
        <f t="shared" si="74"/>
        <v>6510</v>
      </c>
      <c r="AV316" s="31">
        <f t="shared" si="75"/>
        <v>6.7088611831816491</v>
      </c>
      <c r="AW316" s="37">
        <f t="shared" si="76"/>
        <v>15391.993058968063</v>
      </c>
      <c r="AX316" s="31">
        <f t="shared" si="77"/>
        <v>133.94106481882247</v>
      </c>
      <c r="AY316" s="42">
        <f t="shared" si="78"/>
        <v>11493.933776139382</v>
      </c>
      <c r="AZ316" s="42">
        <f t="shared" si="82"/>
        <v>2862910.7089680596</v>
      </c>
      <c r="BA316" s="42">
        <f t="shared" si="79"/>
        <v>11937.957211949042</v>
      </c>
      <c r="BB316" s="42">
        <f t="shared" si="80"/>
        <v>4900</v>
      </c>
      <c r="BC316" s="38">
        <f t="shared" si="83"/>
        <v>11.55</v>
      </c>
      <c r="BD316" s="38">
        <f t="shared" si="84"/>
        <v>14.620253164556962</v>
      </c>
      <c r="BE316" s="38">
        <f t="shared" si="85"/>
        <v>10.586</v>
      </c>
      <c r="BH316" s="34">
        <v>17</v>
      </c>
      <c r="BI316" s="43">
        <v>3.41</v>
      </c>
    </row>
    <row r="317" spans="14:61">
      <c r="N317" s="30" t="s">
        <v>532</v>
      </c>
      <c r="O317" s="40">
        <v>35.299999999999997</v>
      </c>
      <c r="P317" s="128">
        <v>13.1</v>
      </c>
      <c r="Q317" s="128">
        <v>0.71</v>
      </c>
      <c r="R317" s="128">
        <v>12.3</v>
      </c>
      <c r="S317" s="128">
        <v>1.1100000000000001</v>
      </c>
      <c r="T317" s="40">
        <v>1.7</v>
      </c>
      <c r="U317" s="132">
        <v>1.1875</v>
      </c>
      <c r="V317" s="40">
        <v>5.57</v>
      </c>
      <c r="W317" s="84" t="s">
        <v>127</v>
      </c>
      <c r="X317" s="35">
        <f t="shared" si="69"/>
        <v>15.32394366197183</v>
      </c>
      <c r="Y317" s="36">
        <f t="shared" si="70"/>
        <v>3.5621347084271808</v>
      </c>
      <c r="Z317" s="34">
        <v>0.96</v>
      </c>
      <c r="AA317" s="40">
        <v>1070</v>
      </c>
      <c r="AB317" s="128">
        <v>163</v>
      </c>
      <c r="AC317" s="40">
        <v>5.51</v>
      </c>
      <c r="AD317" s="40">
        <v>345</v>
      </c>
      <c r="AE317" s="128">
        <v>56</v>
      </c>
      <c r="AF317" s="40">
        <v>3.13</v>
      </c>
      <c r="AG317" s="41">
        <v>186</v>
      </c>
      <c r="AH317" s="40">
        <v>85.4</v>
      </c>
      <c r="AI317" s="41">
        <v>12.9</v>
      </c>
      <c r="AJ317" s="40">
        <v>12500</v>
      </c>
      <c r="AK317" s="40">
        <v>37</v>
      </c>
      <c r="AL317" s="40">
        <v>126</v>
      </c>
      <c r="AM317" s="40">
        <v>38.5</v>
      </c>
      <c r="AN317" s="40">
        <v>92.3</v>
      </c>
      <c r="AO317" s="130" t="s">
        <v>153</v>
      </c>
      <c r="AP317" s="39" t="s">
        <v>522</v>
      </c>
      <c r="AQ317" s="40">
        <f t="shared" si="71"/>
        <v>132.66947243130198</v>
      </c>
      <c r="AR317" s="41">
        <f t="shared" si="81"/>
        <v>11.99</v>
      </c>
      <c r="AS317" s="37">
        <f t="shared" si="72"/>
        <v>678.77303343930907</v>
      </c>
      <c r="AT317" s="42">
        <f t="shared" si="73"/>
        <v>9300</v>
      </c>
      <c r="AU317" s="31">
        <f t="shared" si="74"/>
        <v>5705</v>
      </c>
      <c r="AV317" s="31">
        <f t="shared" si="75"/>
        <v>6.5830004722259803</v>
      </c>
      <c r="AW317" s="37">
        <f t="shared" si="76"/>
        <v>15009.022880526954</v>
      </c>
      <c r="AX317" s="31">
        <f t="shared" si="77"/>
        <v>132.66947243130198</v>
      </c>
      <c r="AY317" s="42">
        <f t="shared" si="78"/>
        <v>10070.668392298507</v>
      </c>
      <c r="AZ317" s="42">
        <f t="shared" si="82"/>
        <v>2446470.7295258935</v>
      </c>
      <c r="BA317" s="42">
        <f t="shared" si="79"/>
        <v>10362.16137874864</v>
      </c>
      <c r="BB317" s="42">
        <f t="shared" si="80"/>
        <v>4270</v>
      </c>
      <c r="BC317" s="38">
        <f t="shared" si="83"/>
        <v>11.4</v>
      </c>
      <c r="BD317" s="38">
        <f t="shared" si="84"/>
        <v>16.056338028169016</v>
      </c>
      <c r="BE317" s="38">
        <f t="shared" si="85"/>
        <v>9.3010000000000002</v>
      </c>
      <c r="BH317" s="34">
        <v>18.5</v>
      </c>
      <c r="BI317" s="43">
        <v>3.38</v>
      </c>
    </row>
    <row r="318" spans="14:61">
      <c r="N318" s="30" t="s">
        <v>533</v>
      </c>
      <c r="O318" s="40">
        <v>31.2</v>
      </c>
      <c r="P318" s="128">
        <v>12.9</v>
      </c>
      <c r="Q318" s="128">
        <v>0.61</v>
      </c>
      <c r="R318" s="128">
        <v>12.2</v>
      </c>
      <c r="S318" s="128">
        <v>0.99</v>
      </c>
      <c r="T318" s="40">
        <v>1.59</v>
      </c>
      <c r="U318" s="132">
        <v>1.125</v>
      </c>
      <c r="V318" s="40">
        <v>6.17</v>
      </c>
      <c r="W318" s="84" t="s">
        <v>127</v>
      </c>
      <c r="X318" s="35">
        <f t="shared" si="69"/>
        <v>17.901639344262296</v>
      </c>
      <c r="Y318" s="36">
        <f t="shared" si="70"/>
        <v>3.5159292684423638</v>
      </c>
      <c r="Z318" s="34">
        <v>1.07</v>
      </c>
      <c r="AA318" s="40">
        <v>933</v>
      </c>
      <c r="AB318" s="128">
        <v>145</v>
      </c>
      <c r="AC318" s="40">
        <v>5.47</v>
      </c>
      <c r="AD318" s="40">
        <v>301</v>
      </c>
      <c r="AE318" s="128">
        <v>49.3</v>
      </c>
      <c r="AF318" s="40">
        <v>3.11</v>
      </c>
      <c r="AG318" s="41">
        <v>164</v>
      </c>
      <c r="AH318" s="40">
        <v>75.099999999999994</v>
      </c>
      <c r="AI318" s="41">
        <v>9.1300000000000008</v>
      </c>
      <c r="AJ318" s="40">
        <v>10700</v>
      </c>
      <c r="AK318" s="40">
        <v>36.4</v>
      </c>
      <c r="AL318" s="40">
        <v>110</v>
      </c>
      <c r="AM318" s="40">
        <v>34.200000000000003</v>
      </c>
      <c r="AN318" s="40">
        <v>81.099999999999994</v>
      </c>
      <c r="AO318" s="130" t="s">
        <v>153</v>
      </c>
      <c r="AP318" s="39" t="s">
        <v>522</v>
      </c>
      <c r="AQ318" s="40">
        <f t="shared" si="71"/>
        <v>131.82174417295502</v>
      </c>
      <c r="AR318" s="41">
        <f t="shared" si="81"/>
        <v>11.91</v>
      </c>
      <c r="AS318" s="37">
        <f t="shared" si="72"/>
        <v>607.45844491186142</v>
      </c>
      <c r="AT318" s="42">
        <f t="shared" si="73"/>
        <v>8200</v>
      </c>
      <c r="AU318" s="31">
        <f t="shared" si="74"/>
        <v>5075</v>
      </c>
      <c r="AV318" s="31">
        <f t="shared" si="75"/>
        <v>6.5701406034170224</v>
      </c>
      <c r="AW318" s="37">
        <f t="shared" si="76"/>
        <v>14609.456134554401</v>
      </c>
      <c r="AX318" s="31">
        <f t="shared" si="77"/>
        <v>131.82174417295502</v>
      </c>
      <c r="AY318" s="42">
        <f t="shared" si="78"/>
        <v>8963.5932003906782</v>
      </c>
      <c r="AZ318" s="42">
        <f t="shared" si="82"/>
        <v>2118371.139510388</v>
      </c>
      <c r="BA318" s="42">
        <f t="shared" si="79"/>
        <v>9123.2974432794163</v>
      </c>
      <c r="BB318" s="42">
        <f t="shared" si="80"/>
        <v>3754.9999999999995</v>
      </c>
      <c r="BC318" s="38">
        <f t="shared" si="83"/>
        <v>11.31</v>
      </c>
      <c r="BD318" s="38">
        <f t="shared" si="84"/>
        <v>18.540983606557379</v>
      </c>
      <c r="BE318" s="38">
        <f t="shared" si="85"/>
        <v>7.8689999999999998</v>
      </c>
      <c r="BH318" s="34">
        <v>21.1</v>
      </c>
      <c r="BI318" s="43">
        <v>3.36</v>
      </c>
    </row>
    <row r="319" spans="14:61">
      <c r="N319" s="30" t="s">
        <v>534</v>
      </c>
      <c r="O319" s="40">
        <v>28.2</v>
      </c>
      <c r="P319" s="128">
        <v>12.7</v>
      </c>
      <c r="Q319" s="128">
        <v>0.55000000000000004</v>
      </c>
      <c r="R319" s="128">
        <v>12.2</v>
      </c>
      <c r="S319" s="128">
        <v>0.9</v>
      </c>
      <c r="T319" s="40">
        <v>1.5</v>
      </c>
      <c r="U319" s="132">
        <v>1.125</v>
      </c>
      <c r="V319" s="40">
        <v>6.76</v>
      </c>
      <c r="W319" s="84" t="s">
        <v>127</v>
      </c>
      <c r="X319" s="35">
        <f t="shared" si="69"/>
        <v>19.818181818181813</v>
      </c>
      <c r="Y319" s="36">
        <f t="shared" si="70"/>
        <v>3.4871629361862988</v>
      </c>
      <c r="Z319" s="34">
        <v>1.1599999999999999</v>
      </c>
      <c r="AA319" s="40">
        <v>833</v>
      </c>
      <c r="AB319" s="128">
        <v>131</v>
      </c>
      <c r="AC319" s="40">
        <v>5.44</v>
      </c>
      <c r="AD319" s="40">
        <v>270</v>
      </c>
      <c r="AE319" s="128">
        <v>44.4</v>
      </c>
      <c r="AF319" s="40">
        <v>3.09</v>
      </c>
      <c r="AG319" s="41">
        <v>147</v>
      </c>
      <c r="AH319" s="40">
        <v>67.5</v>
      </c>
      <c r="AI319" s="41">
        <v>6.85</v>
      </c>
      <c r="AJ319" s="40">
        <v>9410</v>
      </c>
      <c r="AK319" s="40">
        <v>35.9</v>
      </c>
      <c r="AL319" s="40">
        <v>98.2</v>
      </c>
      <c r="AM319" s="40">
        <v>30.9</v>
      </c>
      <c r="AN319" s="40">
        <v>72.8</v>
      </c>
      <c r="AO319" s="130" t="s">
        <v>153</v>
      </c>
      <c r="AP319" s="39" t="s">
        <v>522</v>
      </c>
      <c r="AQ319" s="40">
        <f t="shared" si="71"/>
        <v>130.97401591460803</v>
      </c>
      <c r="AR319" s="41">
        <f t="shared" si="81"/>
        <v>11.799999999999999</v>
      </c>
      <c r="AS319" s="37">
        <f t="shared" si="72"/>
        <v>559.50322739988508</v>
      </c>
      <c r="AT319" s="42">
        <f t="shared" si="73"/>
        <v>7350</v>
      </c>
      <c r="AU319" s="31">
        <f t="shared" si="74"/>
        <v>4585</v>
      </c>
      <c r="AV319" s="31">
        <f t="shared" si="75"/>
        <v>6.4523022606009599</v>
      </c>
      <c r="AW319" s="37">
        <f t="shared" si="76"/>
        <v>14362.811614204133</v>
      </c>
      <c r="AX319" s="31">
        <f t="shared" si="77"/>
        <v>130.97401591460803</v>
      </c>
      <c r="AY319" s="42">
        <f t="shared" si="78"/>
        <v>8094.4280237004368</v>
      </c>
      <c r="AZ319" s="42">
        <f t="shared" si="82"/>
        <v>1881528.3214607413</v>
      </c>
      <c r="BA319" s="42">
        <f t="shared" si="79"/>
        <v>8166.9335778136283</v>
      </c>
      <c r="BB319" s="42">
        <f t="shared" si="80"/>
        <v>3375</v>
      </c>
      <c r="BC319" s="38">
        <f t="shared" si="83"/>
        <v>11.2</v>
      </c>
      <c r="BD319" s="38">
        <f t="shared" si="84"/>
        <v>20.36363636363636</v>
      </c>
      <c r="BE319" s="38">
        <f t="shared" si="85"/>
        <v>6.9850000000000003</v>
      </c>
      <c r="BH319" s="34">
        <v>23.1</v>
      </c>
      <c r="BI319" s="43">
        <v>3.34</v>
      </c>
    </row>
    <row r="320" spans="14:61">
      <c r="N320" s="30" t="s">
        <v>535</v>
      </c>
      <c r="O320" s="40">
        <v>25.6</v>
      </c>
      <c r="P320" s="128">
        <v>12.5</v>
      </c>
      <c r="Q320" s="128">
        <v>0.51500000000000001</v>
      </c>
      <c r="R320" s="128">
        <v>12.1</v>
      </c>
      <c r="S320" s="128">
        <v>0.81</v>
      </c>
      <c r="T320" s="40">
        <v>1.41</v>
      </c>
      <c r="U320" s="132">
        <v>1.0625</v>
      </c>
      <c r="V320" s="40">
        <v>7.48</v>
      </c>
      <c r="W320" s="84" t="s">
        <v>127</v>
      </c>
      <c r="X320" s="35">
        <f t="shared" si="69"/>
        <v>21.126213592233007</v>
      </c>
      <c r="Y320" s="36">
        <f t="shared" si="70"/>
        <v>3.4550932681369724</v>
      </c>
      <c r="Z320" s="34">
        <v>1.28</v>
      </c>
      <c r="AA320" s="40">
        <v>740</v>
      </c>
      <c r="AB320" s="128">
        <v>118</v>
      </c>
      <c r="AC320" s="40">
        <v>5.38</v>
      </c>
      <c r="AD320" s="40">
        <v>241</v>
      </c>
      <c r="AE320" s="128">
        <v>39.700000000000003</v>
      </c>
      <c r="AF320" s="40">
        <v>3.07</v>
      </c>
      <c r="AG320" s="41">
        <v>132</v>
      </c>
      <c r="AH320" s="40">
        <v>60.4</v>
      </c>
      <c r="AI320" s="41">
        <v>5.0999999999999996</v>
      </c>
      <c r="AJ320" s="40">
        <v>8280</v>
      </c>
      <c r="AK320" s="40">
        <v>35.5</v>
      </c>
      <c r="AL320" s="40">
        <v>87.2</v>
      </c>
      <c r="AM320" s="40">
        <v>27.6</v>
      </c>
      <c r="AN320" s="40">
        <v>65.2</v>
      </c>
      <c r="AO320" s="130" t="s">
        <v>153</v>
      </c>
      <c r="AP320" s="39" t="s">
        <v>522</v>
      </c>
      <c r="AQ320" s="40">
        <f t="shared" si="71"/>
        <v>130.12628765626107</v>
      </c>
      <c r="AR320" s="41">
        <f t="shared" si="81"/>
        <v>11.69</v>
      </c>
      <c r="AS320" s="37">
        <f t="shared" si="72"/>
        <v>516.08264482512254</v>
      </c>
      <c r="AT320" s="42">
        <f t="shared" si="73"/>
        <v>6600</v>
      </c>
      <c r="AU320" s="31">
        <f t="shared" si="74"/>
        <v>4130</v>
      </c>
      <c r="AV320" s="31">
        <f t="shared" si="75"/>
        <v>6.3996873069235116</v>
      </c>
      <c r="AW320" s="37">
        <f t="shared" si="76"/>
        <v>14092.579324553273</v>
      </c>
      <c r="AX320" s="31">
        <f t="shared" si="77"/>
        <v>130.12628765626107</v>
      </c>
      <c r="AY320" s="42">
        <f t="shared" si="78"/>
        <v>7332.9324294228445</v>
      </c>
      <c r="AZ320" s="42">
        <f t="shared" si="82"/>
        <v>1662924.3602972862</v>
      </c>
      <c r="BA320" s="42">
        <f t="shared" si="79"/>
        <v>7329.7742991680507</v>
      </c>
      <c r="BB320" s="42">
        <f t="shared" si="80"/>
        <v>3020</v>
      </c>
      <c r="BC320" s="38">
        <f t="shared" si="83"/>
        <v>11.09</v>
      </c>
      <c r="BD320" s="38">
        <f t="shared" si="84"/>
        <v>21.533980582524272</v>
      </c>
      <c r="BE320" s="38">
        <f t="shared" si="85"/>
        <v>6.4375</v>
      </c>
      <c r="BH320" s="34">
        <v>24.3</v>
      </c>
      <c r="BI320" s="43">
        <v>3.32</v>
      </c>
    </row>
    <row r="321" spans="14:61">
      <c r="N321" s="30" t="s">
        <v>536</v>
      </c>
      <c r="O321" s="40">
        <v>23.2</v>
      </c>
      <c r="P321" s="128">
        <v>12.4</v>
      </c>
      <c r="Q321" s="128">
        <v>0.47</v>
      </c>
      <c r="R321" s="128">
        <v>12.1</v>
      </c>
      <c r="S321" s="128">
        <v>0.73499999999999999</v>
      </c>
      <c r="T321" s="40">
        <v>1.33</v>
      </c>
      <c r="U321" s="132">
        <v>1.0625</v>
      </c>
      <c r="V321" s="40">
        <v>8.2200000000000006</v>
      </c>
      <c r="W321" s="34">
        <v>62.6</v>
      </c>
      <c r="X321" s="35">
        <f t="shared" si="69"/>
        <v>23.25531914893617</v>
      </c>
      <c r="Y321" s="36">
        <f t="shared" si="70"/>
        <v>3.4313289978649362</v>
      </c>
      <c r="Z321" s="34">
        <v>1.39</v>
      </c>
      <c r="AA321" s="40">
        <v>662</v>
      </c>
      <c r="AB321" s="128">
        <v>107</v>
      </c>
      <c r="AC321" s="40">
        <v>5.34</v>
      </c>
      <c r="AD321" s="40">
        <v>216</v>
      </c>
      <c r="AE321" s="128">
        <v>35.799999999999997</v>
      </c>
      <c r="AF321" s="40">
        <v>3.05</v>
      </c>
      <c r="AG321" s="41">
        <v>119</v>
      </c>
      <c r="AH321" s="40">
        <v>54.3</v>
      </c>
      <c r="AI321" s="41">
        <v>3.84</v>
      </c>
      <c r="AJ321" s="40">
        <v>7320</v>
      </c>
      <c r="AK321" s="40">
        <v>35.200000000000003</v>
      </c>
      <c r="AL321" s="40">
        <v>78.099999999999994</v>
      </c>
      <c r="AM321" s="40">
        <v>24.8</v>
      </c>
      <c r="AN321" s="40">
        <v>58.7</v>
      </c>
      <c r="AO321" s="130" t="s">
        <v>153</v>
      </c>
      <c r="AP321" s="39" t="s">
        <v>522</v>
      </c>
      <c r="AQ321" s="40">
        <f t="shared" si="71"/>
        <v>129.27855939791408</v>
      </c>
      <c r="AR321" s="41">
        <f t="shared" si="81"/>
        <v>11.665000000000001</v>
      </c>
      <c r="AS321" s="37">
        <f t="shared" si="72"/>
        <v>479.2010561786372</v>
      </c>
      <c r="AT321" s="42">
        <f t="shared" si="73"/>
        <v>5950</v>
      </c>
      <c r="AU321" s="31">
        <f t="shared" si="74"/>
        <v>3745</v>
      </c>
      <c r="AV321" s="31">
        <f t="shared" si="75"/>
        <v>6.3013953669339253</v>
      </c>
      <c r="AW321" s="37">
        <f t="shared" si="76"/>
        <v>13893.036991592746</v>
      </c>
      <c r="AX321" s="31">
        <f t="shared" si="77"/>
        <v>129.27855939791408</v>
      </c>
      <c r="AY321" s="42">
        <f t="shared" si="78"/>
        <v>6666.3335475097392</v>
      </c>
      <c r="AZ321" s="42">
        <f t="shared" si="82"/>
        <v>1486554.9581004239</v>
      </c>
      <c r="BA321" s="42">
        <f t="shared" si="79"/>
        <v>6601.4786759779563</v>
      </c>
      <c r="BB321" s="42">
        <f t="shared" si="80"/>
        <v>2715</v>
      </c>
      <c r="BC321" s="38">
        <f t="shared" si="83"/>
        <v>11.07</v>
      </c>
      <c r="BD321" s="38">
        <f t="shared" si="84"/>
        <v>23.553191489361705</v>
      </c>
      <c r="BE321" s="38">
        <f t="shared" si="85"/>
        <v>5.8279999999999994</v>
      </c>
      <c r="BH321" s="34">
        <v>26.3</v>
      </c>
      <c r="BI321" s="43">
        <v>3.31</v>
      </c>
    </row>
    <row r="322" spans="14:61">
      <c r="N322" s="30" t="s">
        <v>537</v>
      </c>
      <c r="O322" s="40">
        <v>21.1</v>
      </c>
      <c r="P322" s="128">
        <v>12.3</v>
      </c>
      <c r="Q322" s="128">
        <v>0.43</v>
      </c>
      <c r="R322" s="128">
        <v>12</v>
      </c>
      <c r="S322" s="128">
        <v>0.67</v>
      </c>
      <c r="T322" s="40">
        <v>1.27</v>
      </c>
      <c r="U322" s="132">
        <v>1.0625</v>
      </c>
      <c r="V322" s="40">
        <v>8.99</v>
      </c>
      <c r="W322" s="34">
        <v>52.3</v>
      </c>
      <c r="X322" s="35">
        <f t="shared" ref="X322:X376" si="86">(P322-(2*S322))/Q322</f>
        <v>25.488372093023258</v>
      </c>
      <c r="Y322" s="36">
        <f t="shared" ref="Y322:Y376" si="87">((AD322*AR322)/(2*AB322))^0.5</f>
        <v>3.4120287882351432</v>
      </c>
      <c r="Z322" s="34">
        <v>1.52</v>
      </c>
      <c r="AA322" s="40">
        <v>597</v>
      </c>
      <c r="AB322" s="128">
        <v>97.4</v>
      </c>
      <c r="AC322" s="40">
        <v>5.31</v>
      </c>
      <c r="AD322" s="40">
        <v>195</v>
      </c>
      <c r="AE322" s="128">
        <v>32.4</v>
      </c>
      <c r="AF322" s="40">
        <v>3.04</v>
      </c>
      <c r="AG322" s="41">
        <v>108</v>
      </c>
      <c r="AH322" s="40">
        <v>49.2</v>
      </c>
      <c r="AI322" s="41">
        <v>2.93</v>
      </c>
      <c r="AJ322" s="40">
        <v>6540</v>
      </c>
      <c r="AK322" s="40">
        <v>34.9</v>
      </c>
      <c r="AL322" s="40">
        <v>70.3</v>
      </c>
      <c r="AM322" s="40">
        <v>22.5</v>
      </c>
      <c r="AN322" s="40">
        <v>53.1</v>
      </c>
      <c r="AO322" s="130" t="s">
        <v>153</v>
      </c>
      <c r="AP322" s="39" t="s">
        <v>522</v>
      </c>
      <c r="AQ322" s="40">
        <f t="shared" ref="AQ322:AQ376" si="88">1.76*AF322*($B$10/$B$11)^0.5</f>
        <v>128.85469526874061</v>
      </c>
      <c r="AR322" s="41">
        <f t="shared" si="81"/>
        <v>11.63</v>
      </c>
      <c r="AS322" s="37">
        <f t="shared" ref="AS322:AS376" si="89">((1.95*Y322*$B$10)/(0.7*$B$11))*(((AI322*1)/(AB322*AR322))^0.5)*(1+(1+(6.76*(((0.7*$B$11*AB322*AR322)/($B$10*AI322*1))^2)))^0.5)^0.5</f>
        <v>449.66795268351643</v>
      </c>
      <c r="AT322" s="42">
        <f t="shared" ref="AT322:AT376" si="90">$B$11*AG322</f>
        <v>5400</v>
      </c>
      <c r="AU322" s="31">
        <f t="shared" ref="AU322:AU376" si="91">0.7*$B$11*AB322</f>
        <v>3409</v>
      </c>
      <c r="AV322" s="31">
        <f t="shared" ref="AV322:AV376" si="92">(AT322-AU322)/(AS322-AQ322)</f>
        <v>6.2061026281898899</v>
      </c>
      <c r="AW322" s="37">
        <f t="shared" ref="AW322:AW376" si="93">(($B$28*(3.142857143^2)*$B$10)/(($B$20*12)/Y322)^2)*((1+((0.078*AI322*(((12*$B$20)/Y322)^2))/(AB322*AR322)))^0.5)</f>
        <v>13732.111872158208</v>
      </c>
      <c r="AX322" s="31">
        <f t="shared" ref="AX322:AX376" si="94">AQ322+((AT322*($B$28-1))/(AV322*$B$28))</f>
        <v>128.85469526874061</v>
      </c>
      <c r="AY322" s="42">
        <f t="shared" ref="AY322:AY376" si="95">$B$28*(AT322-(AV322*(($B$20*12)-AQ322)))</f>
        <v>6102.8702619621763</v>
      </c>
      <c r="AZ322" s="42">
        <f t="shared" si="82"/>
        <v>1337507.6963482096</v>
      </c>
      <c r="BA322" s="42">
        <f t="shared" ref="BA322:BA376" si="96">AT322-((AT322-(0.7*$B$11*AB322))*($J$17))</f>
        <v>5988.2512670621818</v>
      </c>
      <c r="BB322" s="42">
        <f t="shared" ref="BB322:BB376" si="97">AH322*$B$11</f>
        <v>2460</v>
      </c>
      <c r="BC322" s="38">
        <f t="shared" si="83"/>
        <v>11.030000000000001</v>
      </c>
      <c r="BD322" s="38">
        <f t="shared" si="84"/>
        <v>25.651162790697679</v>
      </c>
      <c r="BE322" s="38">
        <f t="shared" si="85"/>
        <v>5.2890000000000006</v>
      </c>
      <c r="BH322" s="34">
        <v>28.5</v>
      </c>
      <c r="BI322" s="43">
        <v>3.29</v>
      </c>
    </row>
    <row r="323" spans="14:61">
      <c r="N323" s="30" t="s">
        <v>538</v>
      </c>
      <c r="O323" s="40">
        <v>19.100000000000001</v>
      </c>
      <c r="P323" s="128">
        <v>12.1</v>
      </c>
      <c r="Q323" s="128">
        <v>0.39</v>
      </c>
      <c r="R323" s="128">
        <v>12</v>
      </c>
      <c r="S323" s="128">
        <v>0.60499999999999998</v>
      </c>
      <c r="T323" s="40">
        <v>1.2</v>
      </c>
      <c r="U323" s="129">
        <v>1</v>
      </c>
      <c r="V323" s="40">
        <v>9.92</v>
      </c>
      <c r="W323" s="34">
        <v>43</v>
      </c>
      <c r="X323" s="35">
        <f t="shared" si="86"/>
        <v>27.923076923076923</v>
      </c>
      <c r="Y323" s="36">
        <f t="shared" si="87"/>
        <v>3.3730259047724802</v>
      </c>
      <c r="Z323" s="34">
        <v>1.67</v>
      </c>
      <c r="AA323" s="40">
        <v>533</v>
      </c>
      <c r="AB323" s="128">
        <v>87.9</v>
      </c>
      <c r="AC323" s="40">
        <v>5.28</v>
      </c>
      <c r="AD323" s="40">
        <v>174</v>
      </c>
      <c r="AE323" s="128">
        <v>29.1</v>
      </c>
      <c r="AF323" s="40">
        <v>3.02</v>
      </c>
      <c r="AG323" s="41">
        <v>96.8</v>
      </c>
      <c r="AH323" s="40">
        <v>44.1</v>
      </c>
      <c r="AI323" s="41">
        <v>2.1800000000000002</v>
      </c>
      <c r="AJ323" s="40">
        <v>5770</v>
      </c>
      <c r="AK323" s="40">
        <v>34.5</v>
      </c>
      <c r="AL323" s="40">
        <v>62.7</v>
      </c>
      <c r="AM323" s="40">
        <v>20.2</v>
      </c>
      <c r="AN323" s="40">
        <v>47.6</v>
      </c>
      <c r="AO323" s="130" t="s">
        <v>153</v>
      </c>
      <c r="AP323" s="39" t="s">
        <v>522</v>
      </c>
      <c r="AQ323" s="40">
        <f t="shared" si="88"/>
        <v>128.00696701039362</v>
      </c>
      <c r="AR323" s="41">
        <f t="shared" ref="AR323:AR376" si="98">(P323-S323)</f>
        <v>11.494999999999999</v>
      </c>
      <c r="AS323" s="37">
        <f t="shared" si="89"/>
        <v>420.93257110027662</v>
      </c>
      <c r="AT323" s="42">
        <f t="shared" si="90"/>
        <v>4840</v>
      </c>
      <c r="AU323" s="31">
        <f t="shared" si="91"/>
        <v>3076.5</v>
      </c>
      <c r="AV323" s="31">
        <f t="shared" si="92"/>
        <v>6.0202999511742146</v>
      </c>
      <c r="AW323" s="37">
        <f t="shared" si="93"/>
        <v>13415.834485562729</v>
      </c>
      <c r="AX323" s="31">
        <f t="shared" si="94"/>
        <v>128.00696701039362</v>
      </c>
      <c r="AY323" s="42">
        <f t="shared" si="95"/>
        <v>5516.7236580043145</v>
      </c>
      <c r="AZ323" s="42">
        <f t="shared" ref="AZ323:AZ376" si="99">AW323*AB323</f>
        <v>1179251.851280964</v>
      </c>
      <c r="BA323" s="42">
        <f t="shared" si="96"/>
        <v>5361.0352131914406</v>
      </c>
      <c r="BB323" s="42">
        <f t="shared" si="97"/>
        <v>2205</v>
      </c>
      <c r="BC323" s="38">
        <f t="shared" ref="BC323:BC376" si="100">P323-T323</f>
        <v>10.9</v>
      </c>
      <c r="BD323" s="38">
        <f t="shared" ref="BD323:BD376" si="101">BC323/Q323</f>
        <v>27.948717948717949</v>
      </c>
      <c r="BE323" s="38">
        <f t="shared" ref="BE323:BE376" si="102">Q323*P323</f>
        <v>4.7190000000000003</v>
      </c>
      <c r="BH323" s="34">
        <v>31.1</v>
      </c>
      <c r="BI323" s="43">
        <v>3.28</v>
      </c>
    </row>
    <row r="324" spans="14:61">
      <c r="N324" s="30" t="s">
        <v>539</v>
      </c>
      <c r="O324" s="40">
        <v>17</v>
      </c>
      <c r="P324" s="128">
        <v>12.2</v>
      </c>
      <c r="Q324" s="128">
        <v>0.36</v>
      </c>
      <c r="R324" s="128">
        <v>10</v>
      </c>
      <c r="S324" s="128">
        <v>0.64</v>
      </c>
      <c r="T324" s="40">
        <v>1.24</v>
      </c>
      <c r="U324" s="132">
        <v>0.9375</v>
      </c>
      <c r="V324" s="40">
        <v>7.82</v>
      </c>
      <c r="W324" s="84" t="s">
        <v>127</v>
      </c>
      <c r="X324" s="35">
        <f t="shared" si="86"/>
        <v>30.333333333333336</v>
      </c>
      <c r="Y324" s="36">
        <f t="shared" si="87"/>
        <v>2.8158434542734008</v>
      </c>
      <c r="Z324" s="34">
        <v>1.9</v>
      </c>
      <c r="AA324" s="40">
        <v>475</v>
      </c>
      <c r="AB324" s="128">
        <v>78</v>
      </c>
      <c r="AC324" s="40">
        <v>5.28</v>
      </c>
      <c r="AD324" s="40">
        <v>107</v>
      </c>
      <c r="AE324" s="128">
        <v>21.4</v>
      </c>
      <c r="AF324" s="40">
        <v>2.5099999999999998</v>
      </c>
      <c r="AG324" s="41">
        <v>86.4</v>
      </c>
      <c r="AH324" s="40">
        <v>32.5</v>
      </c>
      <c r="AI324" s="41">
        <v>2.1</v>
      </c>
      <c r="AJ324" s="40">
        <v>3570</v>
      </c>
      <c r="AK324" s="40">
        <v>28.9</v>
      </c>
      <c r="AL324" s="40">
        <v>46.3</v>
      </c>
      <c r="AM324" s="40">
        <v>17.8</v>
      </c>
      <c r="AN324" s="40">
        <v>42.4</v>
      </c>
      <c r="AO324" s="130" t="s">
        <v>540</v>
      </c>
      <c r="AP324" s="39" t="s">
        <v>69</v>
      </c>
      <c r="AQ324" s="40">
        <f t="shared" si="88"/>
        <v>106.38989642254568</v>
      </c>
      <c r="AR324" s="41">
        <f t="shared" si="98"/>
        <v>11.559999999999999</v>
      </c>
      <c r="AS324" s="37">
        <f t="shared" si="89"/>
        <v>359.29649421523175</v>
      </c>
      <c r="AT324" s="42">
        <f t="shared" si="90"/>
        <v>4320</v>
      </c>
      <c r="AU324" s="31">
        <f t="shared" si="91"/>
        <v>2730</v>
      </c>
      <c r="AV324" s="31">
        <f t="shared" si="92"/>
        <v>6.2869059719168074</v>
      </c>
      <c r="AW324" s="37">
        <f t="shared" si="93"/>
        <v>9358.8495401295568</v>
      </c>
      <c r="AX324" s="31">
        <f t="shared" si="94"/>
        <v>106.38989642254568</v>
      </c>
      <c r="AY324" s="42">
        <f t="shared" si="95"/>
        <v>4890.7875420086111</v>
      </c>
      <c r="AZ324" s="42">
        <f t="shared" si="99"/>
        <v>729990.26413010538</v>
      </c>
      <c r="BA324" s="42">
        <f t="shared" si="96"/>
        <v>4789.7737391405672</v>
      </c>
      <c r="BB324" s="42">
        <f t="shared" si="97"/>
        <v>1625</v>
      </c>
      <c r="BC324" s="38">
        <f t="shared" si="100"/>
        <v>10.959999999999999</v>
      </c>
      <c r="BD324" s="38">
        <f t="shared" si="101"/>
        <v>30.444444444444443</v>
      </c>
      <c r="BE324" s="38">
        <f t="shared" si="102"/>
        <v>4.3919999999999995</v>
      </c>
      <c r="BH324" s="34">
        <v>33.9</v>
      </c>
      <c r="BI324" s="43">
        <v>2.72</v>
      </c>
    </row>
    <row r="325" spans="14:61">
      <c r="N325" s="30" t="s">
        <v>541</v>
      </c>
      <c r="O325" s="40">
        <v>15.6</v>
      </c>
      <c r="P325" s="128">
        <v>12.1</v>
      </c>
      <c r="Q325" s="128">
        <v>0.34499999999999997</v>
      </c>
      <c r="R325" s="128">
        <v>9.99</v>
      </c>
      <c r="S325" s="128">
        <v>0.57499999999999996</v>
      </c>
      <c r="T325" s="40">
        <v>1.17</v>
      </c>
      <c r="U325" s="132">
        <v>0.9375</v>
      </c>
      <c r="V325" s="40">
        <v>8.69</v>
      </c>
      <c r="W325" s="34">
        <v>55.9</v>
      </c>
      <c r="X325" s="35">
        <f t="shared" si="86"/>
        <v>31.739130434782609</v>
      </c>
      <c r="Y325" s="36">
        <f t="shared" si="87"/>
        <v>2.796313589064229</v>
      </c>
      <c r="Z325" s="34">
        <v>2.1</v>
      </c>
      <c r="AA325" s="40">
        <v>425</v>
      </c>
      <c r="AB325" s="128">
        <v>70.599999999999994</v>
      </c>
      <c r="AC325" s="40">
        <v>5.23</v>
      </c>
      <c r="AD325" s="40">
        <v>95.8</v>
      </c>
      <c r="AE325" s="128">
        <v>19.2</v>
      </c>
      <c r="AF325" s="40">
        <v>2.48</v>
      </c>
      <c r="AG325" s="41">
        <v>77.900000000000006</v>
      </c>
      <c r="AH325" s="40">
        <v>29.1</v>
      </c>
      <c r="AI325" s="41">
        <v>1.58</v>
      </c>
      <c r="AJ325" s="40">
        <v>3160</v>
      </c>
      <c r="AK325" s="40">
        <v>28.7</v>
      </c>
      <c r="AL325" s="40">
        <v>41.2</v>
      </c>
      <c r="AM325" s="40">
        <v>15.9</v>
      </c>
      <c r="AN325" s="40">
        <v>38.1</v>
      </c>
      <c r="AO325" s="130" t="s">
        <v>540</v>
      </c>
      <c r="AP325" s="39" t="s">
        <v>69</v>
      </c>
      <c r="AQ325" s="40">
        <f t="shared" si="88"/>
        <v>105.11830403502522</v>
      </c>
      <c r="AR325" s="41">
        <f t="shared" si="98"/>
        <v>11.525</v>
      </c>
      <c r="AS325" s="37">
        <f t="shared" si="89"/>
        <v>339.0639509703164</v>
      </c>
      <c r="AT325" s="42">
        <f t="shared" si="90"/>
        <v>3895.0000000000005</v>
      </c>
      <c r="AU325" s="31">
        <f t="shared" si="91"/>
        <v>2471</v>
      </c>
      <c r="AV325" s="31">
        <f t="shared" si="92"/>
        <v>6.086883935027334</v>
      </c>
      <c r="AW325" s="37">
        <f t="shared" si="93"/>
        <v>9225.5239781660002</v>
      </c>
      <c r="AX325" s="31">
        <f t="shared" si="94"/>
        <v>105.11830403502522</v>
      </c>
      <c r="AY325" s="42">
        <f t="shared" si="95"/>
        <v>4439.8875267216881</v>
      </c>
      <c r="AZ325" s="42">
        <f t="shared" si="99"/>
        <v>651321.99285851954</v>
      </c>
      <c r="BA325" s="42">
        <f t="shared" si="96"/>
        <v>4315.7281789535655</v>
      </c>
      <c r="BB325" s="42">
        <f t="shared" si="97"/>
        <v>1455</v>
      </c>
      <c r="BC325" s="38">
        <f t="shared" si="100"/>
        <v>10.93</v>
      </c>
      <c r="BD325" s="38">
        <f t="shared" si="101"/>
        <v>31.681159420289855</v>
      </c>
      <c r="BE325" s="38">
        <f t="shared" si="102"/>
        <v>4.1744999999999992</v>
      </c>
      <c r="BH325" s="34">
        <v>35</v>
      </c>
      <c r="BI325" s="43">
        <v>2.71</v>
      </c>
    </row>
    <row r="326" spans="14:61">
      <c r="N326" s="30" t="s">
        <v>542</v>
      </c>
      <c r="O326" s="40">
        <v>14.6</v>
      </c>
      <c r="P326" s="128">
        <v>12.2</v>
      </c>
      <c r="Q326" s="128">
        <v>0.37</v>
      </c>
      <c r="R326" s="128">
        <v>8.08</v>
      </c>
      <c r="S326" s="128">
        <v>0.64</v>
      </c>
      <c r="T326" s="40">
        <v>1.1399999999999999</v>
      </c>
      <c r="U326" s="132">
        <v>0.9375</v>
      </c>
      <c r="V326" s="40">
        <v>6.31</v>
      </c>
      <c r="W326" s="84" t="s">
        <v>127</v>
      </c>
      <c r="X326" s="35">
        <f t="shared" si="86"/>
        <v>29.513513513513512</v>
      </c>
      <c r="Y326" s="36">
        <f t="shared" si="87"/>
        <v>2.2513893253013784</v>
      </c>
      <c r="Z326" s="34">
        <v>2.36</v>
      </c>
      <c r="AA326" s="40">
        <v>391</v>
      </c>
      <c r="AB326" s="128">
        <v>64.2</v>
      </c>
      <c r="AC326" s="40">
        <v>5.18</v>
      </c>
      <c r="AD326" s="40">
        <v>56.3</v>
      </c>
      <c r="AE326" s="128">
        <v>13.9</v>
      </c>
      <c r="AF326" s="40">
        <v>1.96</v>
      </c>
      <c r="AG326" s="41">
        <v>71.900000000000006</v>
      </c>
      <c r="AH326" s="40">
        <v>21.3</v>
      </c>
      <c r="AI326" s="41">
        <v>1.71</v>
      </c>
      <c r="AJ326" s="40">
        <v>1880</v>
      </c>
      <c r="AK326" s="40">
        <v>23.3</v>
      </c>
      <c r="AL326" s="40">
        <v>30.2</v>
      </c>
      <c r="AM326" s="40">
        <v>14.2</v>
      </c>
      <c r="AN326" s="40">
        <v>35.4</v>
      </c>
      <c r="AO326" s="130" t="s">
        <v>540</v>
      </c>
      <c r="AP326" s="39" t="s">
        <v>69</v>
      </c>
      <c r="AQ326" s="40">
        <f t="shared" si="88"/>
        <v>83.077369318003804</v>
      </c>
      <c r="AR326" s="41">
        <f t="shared" si="98"/>
        <v>11.559999999999999</v>
      </c>
      <c r="AS326" s="37">
        <f t="shared" si="89"/>
        <v>286.35855651463709</v>
      </c>
      <c r="AT326" s="42">
        <f t="shared" si="90"/>
        <v>3595.0000000000005</v>
      </c>
      <c r="AU326" s="31">
        <f t="shared" si="91"/>
        <v>2247</v>
      </c>
      <c r="AV326" s="31">
        <f t="shared" si="92"/>
        <v>6.6312088127273876</v>
      </c>
      <c r="AW326" s="37">
        <f t="shared" si="93"/>
        <v>5991.9054380960333</v>
      </c>
      <c r="AX326" s="31">
        <f t="shared" si="94"/>
        <v>83.077369318003804</v>
      </c>
      <c r="AY326" s="42">
        <f t="shared" si="95"/>
        <v>4042.4565260812078</v>
      </c>
      <c r="AZ326" s="42">
        <f t="shared" si="99"/>
        <v>384680.32912576536</v>
      </c>
      <c r="BA326" s="42">
        <f t="shared" si="96"/>
        <v>3993.2735851330099</v>
      </c>
      <c r="BB326" s="42">
        <f t="shared" si="97"/>
        <v>1065</v>
      </c>
      <c r="BC326" s="38">
        <f t="shared" si="100"/>
        <v>11.059999999999999</v>
      </c>
      <c r="BD326" s="38">
        <f t="shared" si="101"/>
        <v>29.891891891891888</v>
      </c>
      <c r="BE326" s="38">
        <f t="shared" si="102"/>
        <v>4.5139999999999993</v>
      </c>
      <c r="BH326" s="34">
        <v>32.9</v>
      </c>
      <c r="BI326" s="43">
        <v>2.17</v>
      </c>
    </row>
    <row r="327" spans="14:61">
      <c r="N327" s="30" t="s">
        <v>543</v>
      </c>
      <c r="O327" s="40">
        <v>13.1</v>
      </c>
      <c r="P327" s="128">
        <v>12.1</v>
      </c>
      <c r="Q327" s="128">
        <v>0.33500000000000002</v>
      </c>
      <c r="R327" s="128">
        <v>8.0500000000000007</v>
      </c>
      <c r="S327" s="128">
        <v>0.57499999999999996</v>
      </c>
      <c r="T327" s="40">
        <v>1.08</v>
      </c>
      <c r="U327" s="132">
        <v>0.9375</v>
      </c>
      <c r="V327" s="40">
        <v>7</v>
      </c>
      <c r="W327" s="84" t="s">
        <v>127</v>
      </c>
      <c r="X327" s="35">
        <f t="shared" si="86"/>
        <v>32.686567164179102</v>
      </c>
      <c r="Y327" s="36">
        <f t="shared" si="87"/>
        <v>2.2346142545305501</v>
      </c>
      <c r="Z327" s="34">
        <v>2.61</v>
      </c>
      <c r="AA327" s="40">
        <v>348</v>
      </c>
      <c r="AB327" s="128">
        <v>57.7</v>
      </c>
      <c r="AC327" s="40">
        <v>5.15</v>
      </c>
      <c r="AD327" s="40">
        <v>50</v>
      </c>
      <c r="AE327" s="128">
        <v>12.4</v>
      </c>
      <c r="AF327" s="40">
        <v>1.95</v>
      </c>
      <c r="AG327" s="41">
        <v>64.2</v>
      </c>
      <c r="AH327" s="40">
        <v>19</v>
      </c>
      <c r="AI327" s="41">
        <v>1.26</v>
      </c>
      <c r="AJ327" s="40">
        <v>1650</v>
      </c>
      <c r="AK327" s="40">
        <v>23.1</v>
      </c>
      <c r="AL327" s="40">
        <v>26.7</v>
      </c>
      <c r="AM327" s="40">
        <v>12.7</v>
      </c>
      <c r="AN327" s="40">
        <v>31.5</v>
      </c>
      <c r="AO327" s="130" t="s">
        <v>540</v>
      </c>
      <c r="AP327" s="39" t="s">
        <v>69</v>
      </c>
      <c r="AQ327" s="40">
        <f t="shared" si="88"/>
        <v>82.653505188830323</v>
      </c>
      <c r="AR327" s="41">
        <f t="shared" si="98"/>
        <v>11.525</v>
      </c>
      <c r="AS327" s="37">
        <f t="shared" si="89"/>
        <v>269.22725865516242</v>
      </c>
      <c r="AT327" s="42">
        <f t="shared" si="90"/>
        <v>3210</v>
      </c>
      <c r="AU327" s="31">
        <f t="shared" si="91"/>
        <v>2019.5</v>
      </c>
      <c r="AV327" s="31">
        <f t="shared" si="92"/>
        <v>6.3808546372779595</v>
      </c>
      <c r="AW327" s="37">
        <f t="shared" si="93"/>
        <v>5898.772445006427</v>
      </c>
      <c r="AX327" s="31">
        <f t="shared" si="94"/>
        <v>82.653505188830323</v>
      </c>
      <c r="AY327" s="42">
        <f t="shared" si="95"/>
        <v>3637.8586695298895</v>
      </c>
      <c r="AZ327" s="42">
        <f t="shared" si="99"/>
        <v>340359.17007687088</v>
      </c>
      <c r="BA327" s="42">
        <f t="shared" si="96"/>
        <v>3561.7393939917265</v>
      </c>
      <c r="BB327" s="42">
        <f t="shared" si="97"/>
        <v>950</v>
      </c>
      <c r="BC327" s="38">
        <f t="shared" si="100"/>
        <v>11.02</v>
      </c>
      <c r="BD327" s="38">
        <f t="shared" si="101"/>
        <v>32.895522388059696</v>
      </c>
      <c r="BE327" s="38">
        <f t="shared" si="102"/>
        <v>4.0535000000000005</v>
      </c>
      <c r="BH327" s="34">
        <v>36</v>
      </c>
      <c r="BI327" s="43">
        <v>2.15</v>
      </c>
    </row>
    <row r="328" spans="14:61">
      <c r="N328" s="30" t="s">
        <v>544</v>
      </c>
      <c r="O328" s="40">
        <v>11.7</v>
      </c>
      <c r="P328" s="128">
        <v>11.9</v>
      </c>
      <c r="Q328" s="128">
        <v>0.29499999999999998</v>
      </c>
      <c r="R328" s="128">
        <v>8.01</v>
      </c>
      <c r="S328" s="128">
        <v>0.51500000000000001</v>
      </c>
      <c r="T328" s="40">
        <v>1.02</v>
      </c>
      <c r="U328" s="132">
        <v>0.875</v>
      </c>
      <c r="V328" s="40">
        <v>7.77</v>
      </c>
      <c r="W328" s="84" t="s">
        <v>127</v>
      </c>
      <c r="X328" s="35">
        <f t="shared" si="86"/>
        <v>36.847457627118651</v>
      </c>
      <c r="Y328" s="36">
        <f t="shared" si="87"/>
        <v>2.2078379794924539</v>
      </c>
      <c r="Z328" s="34">
        <v>2.9</v>
      </c>
      <c r="AA328" s="40">
        <v>307</v>
      </c>
      <c r="AB328" s="128">
        <v>51.5</v>
      </c>
      <c r="AC328" s="40">
        <v>5.13</v>
      </c>
      <c r="AD328" s="40">
        <v>44.1</v>
      </c>
      <c r="AE328" s="128">
        <v>11</v>
      </c>
      <c r="AF328" s="40">
        <v>1.94</v>
      </c>
      <c r="AG328" s="41">
        <v>57</v>
      </c>
      <c r="AH328" s="40">
        <v>16.8</v>
      </c>
      <c r="AI328" s="41">
        <v>0.90600000000000003</v>
      </c>
      <c r="AJ328" s="40">
        <v>1440</v>
      </c>
      <c r="AK328" s="40">
        <v>22.9</v>
      </c>
      <c r="AL328" s="40">
        <v>23.6</v>
      </c>
      <c r="AM328" s="40">
        <v>11.3</v>
      </c>
      <c r="AN328" s="40">
        <v>27.9</v>
      </c>
      <c r="AO328" s="130" t="s">
        <v>540</v>
      </c>
      <c r="AP328" s="39" t="s">
        <v>69</v>
      </c>
      <c r="AQ328" s="40">
        <f t="shared" si="88"/>
        <v>82.229641059656828</v>
      </c>
      <c r="AR328" s="41">
        <f t="shared" si="98"/>
        <v>11.385</v>
      </c>
      <c r="AS328" s="37">
        <f t="shared" si="89"/>
        <v>253.32310645816131</v>
      </c>
      <c r="AT328" s="42">
        <f t="shared" si="90"/>
        <v>2850</v>
      </c>
      <c r="AU328" s="31">
        <f t="shared" si="91"/>
        <v>1802.5</v>
      </c>
      <c r="AV328" s="31">
        <f t="shared" si="92"/>
        <v>6.1223846133468767</v>
      </c>
      <c r="AW328" s="37">
        <f t="shared" si="93"/>
        <v>5754.8657149030469</v>
      </c>
      <c r="AX328" s="31">
        <f t="shared" si="94"/>
        <v>82.229641059656828</v>
      </c>
      <c r="AY328" s="42">
        <f t="shared" si="95"/>
        <v>3257.9322892164682</v>
      </c>
      <c r="AZ328" s="42">
        <f t="shared" si="99"/>
        <v>296375.58431750693</v>
      </c>
      <c r="BA328" s="42">
        <f t="shared" si="96"/>
        <v>3159.4893029872605</v>
      </c>
      <c r="BB328" s="42">
        <f t="shared" si="97"/>
        <v>840</v>
      </c>
      <c r="BC328" s="38">
        <f t="shared" si="100"/>
        <v>10.88</v>
      </c>
      <c r="BD328" s="38">
        <f t="shared" si="101"/>
        <v>36.881355932203391</v>
      </c>
      <c r="BE328" s="38">
        <f t="shared" si="102"/>
        <v>3.5105</v>
      </c>
      <c r="BH328" s="34">
        <v>40.5</v>
      </c>
      <c r="BI328" s="43">
        <v>2.14</v>
      </c>
    </row>
    <row r="329" spans="14:61">
      <c r="N329" s="30" t="s">
        <v>545</v>
      </c>
      <c r="O329" s="40">
        <v>10.3</v>
      </c>
      <c r="P329" s="128">
        <v>12.5</v>
      </c>
      <c r="Q329" s="128">
        <v>0.3</v>
      </c>
      <c r="R329" s="128">
        <v>6.56</v>
      </c>
      <c r="S329" s="128">
        <v>0.52</v>
      </c>
      <c r="T329" s="40">
        <v>0.82</v>
      </c>
      <c r="U329" s="132">
        <v>0.75</v>
      </c>
      <c r="V329" s="40">
        <v>6.31</v>
      </c>
      <c r="W329" s="84" t="s">
        <v>127</v>
      </c>
      <c r="X329" s="35">
        <f t="shared" si="86"/>
        <v>38.200000000000003</v>
      </c>
      <c r="Y329" s="36">
        <f t="shared" si="87"/>
        <v>1.7939652737744873</v>
      </c>
      <c r="Z329" s="34">
        <v>3.66</v>
      </c>
      <c r="AA329" s="40">
        <v>285</v>
      </c>
      <c r="AB329" s="128">
        <v>45.6</v>
      </c>
      <c r="AC329" s="40">
        <v>5.25</v>
      </c>
      <c r="AD329" s="40">
        <v>24.5</v>
      </c>
      <c r="AE329" s="128">
        <v>7.47</v>
      </c>
      <c r="AF329" s="40">
        <v>1.54</v>
      </c>
      <c r="AG329" s="41">
        <v>51.2</v>
      </c>
      <c r="AH329" s="40">
        <v>11.5</v>
      </c>
      <c r="AI329" s="41">
        <v>0.74099999999999999</v>
      </c>
      <c r="AJ329" s="40">
        <v>879</v>
      </c>
      <c r="AK329" s="40">
        <v>19.600000000000001</v>
      </c>
      <c r="AL329" s="40">
        <v>16.8</v>
      </c>
      <c r="AM329" s="40">
        <v>9.75</v>
      </c>
      <c r="AN329" s="40">
        <v>25.4</v>
      </c>
      <c r="AO329" s="130" t="s">
        <v>546</v>
      </c>
      <c r="AP329" s="39" t="s">
        <v>204</v>
      </c>
      <c r="AQ329" s="40">
        <f t="shared" si="88"/>
        <v>65.275075892717268</v>
      </c>
      <c r="AR329" s="41">
        <f t="shared" si="98"/>
        <v>11.98</v>
      </c>
      <c r="AS329" s="37">
        <f t="shared" si="89"/>
        <v>200.29236959820847</v>
      </c>
      <c r="AT329" s="42">
        <f t="shared" si="90"/>
        <v>2560</v>
      </c>
      <c r="AU329" s="31">
        <f t="shared" si="91"/>
        <v>1596</v>
      </c>
      <c r="AV329" s="31">
        <f t="shared" si="92"/>
        <v>7.1398261181470692</v>
      </c>
      <c r="AW329" s="37">
        <f t="shared" si="93"/>
        <v>3803.2642527779458</v>
      </c>
      <c r="AX329" s="31">
        <f t="shared" si="94"/>
        <v>65.275075892717268</v>
      </c>
      <c r="AY329" s="42">
        <f t="shared" si="95"/>
        <v>2914.6714042797607</v>
      </c>
      <c r="AZ329" s="42">
        <f t="shared" si="99"/>
        <v>173428.84992667433</v>
      </c>
      <c r="BA329" s="42">
        <f t="shared" si="96"/>
        <v>2844.8187953028346</v>
      </c>
      <c r="BB329" s="42">
        <f t="shared" si="97"/>
        <v>575</v>
      </c>
      <c r="BC329" s="38">
        <f t="shared" si="100"/>
        <v>11.68</v>
      </c>
      <c r="BD329" s="38">
        <f t="shared" si="101"/>
        <v>38.933333333333337</v>
      </c>
      <c r="BE329" s="38">
        <f t="shared" si="102"/>
        <v>3.75</v>
      </c>
      <c r="BH329" s="34">
        <v>41.7</v>
      </c>
      <c r="BI329" s="43">
        <v>1.74</v>
      </c>
    </row>
    <row r="330" spans="14:61">
      <c r="N330" s="30" t="s">
        <v>547</v>
      </c>
      <c r="O330" s="40">
        <v>8.7899999999999991</v>
      </c>
      <c r="P330" s="128">
        <v>12.3</v>
      </c>
      <c r="Q330" s="128">
        <v>0.26</v>
      </c>
      <c r="R330" s="128">
        <v>6.52</v>
      </c>
      <c r="S330" s="128">
        <v>0.44</v>
      </c>
      <c r="T330" s="40">
        <v>0.74</v>
      </c>
      <c r="U330" s="132">
        <v>0.75</v>
      </c>
      <c r="V330" s="40">
        <v>7.41</v>
      </c>
      <c r="W330" s="84" t="s">
        <v>127</v>
      </c>
      <c r="X330" s="35">
        <f t="shared" si="86"/>
        <v>43.92307692307692</v>
      </c>
      <c r="Y330" s="36">
        <f t="shared" si="87"/>
        <v>1.765963460268978</v>
      </c>
      <c r="Z330" s="34">
        <v>4.3</v>
      </c>
      <c r="AA330" s="40">
        <v>238</v>
      </c>
      <c r="AB330" s="128">
        <v>38.6</v>
      </c>
      <c r="AC330" s="40">
        <v>5.21</v>
      </c>
      <c r="AD330" s="40">
        <v>20.3</v>
      </c>
      <c r="AE330" s="128">
        <v>6.24</v>
      </c>
      <c r="AF330" s="40">
        <v>1.52</v>
      </c>
      <c r="AG330" s="41">
        <v>43.1</v>
      </c>
      <c r="AH330" s="40">
        <v>9.56</v>
      </c>
      <c r="AI330" s="41">
        <v>0.45700000000000002</v>
      </c>
      <c r="AJ330" s="40">
        <v>719</v>
      </c>
      <c r="AK330" s="40">
        <v>19.399999999999999</v>
      </c>
      <c r="AL330" s="40">
        <v>13.9</v>
      </c>
      <c r="AM330" s="40">
        <v>8.19</v>
      </c>
      <c r="AN330" s="40">
        <v>21.3</v>
      </c>
      <c r="AO330" s="130" t="s">
        <v>546</v>
      </c>
      <c r="AP330" s="39" t="s">
        <v>204</v>
      </c>
      <c r="AQ330" s="40">
        <f t="shared" si="88"/>
        <v>64.427347634370307</v>
      </c>
      <c r="AR330" s="41">
        <f t="shared" si="98"/>
        <v>11.860000000000001</v>
      </c>
      <c r="AS330" s="37">
        <f t="shared" si="89"/>
        <v>186.9103202919093</v>
      </c>
      <c r="AT330" s="42">
        <f t="shared" si="90"/>
        <v>2155</v>
      </c>
      <c r="AU330" s="31">
        <f t="shared" si="91"/>
        <v>1351</v>
      </c>
      <c r="AV330" s="31">
        <f t="shared" si="92"/>
        <v>6.5641777183835579</v>
      </c>
      <c r="AW330" s="37">
        <f t="shared" si="93"/>
        <v>3681.9418436299038</v>
      </c>
      <c r="AX330" s="31">
        <f t="shared" si="94"/>
        <v>64.427347634370307</v>
      </c>
      <c r="AY330" s="42">
        <f t="shared" si="95"/>
        <v>2475.5113873893015</v>
      </c>
      <c r="AZ330" s="42">
        <f t="shared" si="99"/>
        <v>142122.9551641143</v>
      </c>
      <c r="BA330" s="42">
        <f t="shared" si="96"/>
        <v>2392.5459662069284</v>
      </c>
      <c r="BB330" s="42">
        <f t="shared" si="97"/>
        <v>478</v>
      </c>
      <c r="BC330" s="38">
        <f t="shared" si="100"/>
        <v>11.56</v>
      </c>
      <c r="BD330" s="38">
        <f t="shared" si="101"/>
        <v>44.46153846153846</v>
      </c>
      <c r="BE330" s="38">
        <f t="shared" si="102"/>
        <v>3.1980000000000004</v>
      </c>
      <c r="BH330" s="34">
        <v>47.5</v>
      </c>
      <c r="BI330" s="43">
        <v>1.73</v>
      </c>
    </row>
    <row r="331" spans="14:61">
      <c r="N331" s="30" t="s">
        <v>548</v>
      </c>
      <c r="O331" s="40">
        <v>7.65</v>
      </c>
      <c r="P331" s="128">
        <v>12.2</v>
      </c>
      <c r="Q331" s="128">
        <v>0.23</v>
      </c>
      <c r="R331" s="128">
        <v>6.49</v>
      </c>
      <c r="S331" s="128">
        <v>0.38</v>
      </c>
      <c r="T331" s="40">
        <v>0.68</v>
      </c>
      <c r="U331" s="132">
        <v>0.75</v>
      </c>
      <c r="V331" s="40">
        <v>8.5399999999999991</v>
      </c>
      <c r="W331" s="34">
        <v>57.9</v>
      </c>
      <c r="X331" s="35">
        <f t="shared" si="86"/>
        <v>49.739130434782602</v>
      </c>
      <c r="Y331" s="36">
        <f t="shared" si="87"/>
        <v>1.7496192913518811</v>
      </c>
      <c r="Z331" s="34">
        <v>4.95</v>
      </c>
      <c r="AA331" s="40">
        <v>204</v>
      </c>
      <c r="AB331" s="128">
        <v>33.4</v>
      </c>
      <c r="AC331" s="40">
        <v>5.17</v>
      </c>
      <c r="AD331" s="40">
        <v>17.3</v>
      </c>
      <c r="AE331" s="128">
        <v>5.34</v>
      </c>
      <c r="AF331" s="40">
        <v>1.51</v>
      </c>
      <c r="AG331" s="41">
        <v>37.200000000000003</v>
      </c>
      <c r="AH331" s="40">
        <v>8.17</v>
      </c>
      <c r="AI331" s="41">
        <v>0.3</v>
      </c>
      <c r="AJ331" s="40">
        <v>606</v>
      </c>
      <c r="AK331" s="40">
        <v>19.2</v>
      </c>
      <c r="AL331" s="40">
        <v>11.8</v>
      </c>
      <c r="AM331" s="40">
        <v>7.04</v>
      </c>
      <c r="AN331" s="40">
        <v>18.399999999999999</v>
      </c>
      <c r="AO331" s="130" t="s">
        <v>546</v>
      </c>
      <c r="AP331" s="39" t="s">
        <v>204</v>
      </c>
      <c r="AQ331" s="40">
        <f t="shared" si="88"/>
        <v>64.003483505196812</v>
      </c>
      <c r="AR331" s="41">
        <f t="shared" si="98"/>
        <v>11.819999999999999</v>
      </c>
      <c r="AS331" s="37">
        <f t="shared" si="89"/>
        <v>178.53144509659396</v>
      </c>
      <c r="AT331" s="42">
        <f t="shared" si="90"/>
        <v>1860.0000000000002</v>
      </c>
      <c r="AU331" s="31">
        <f t="shared" si="91"/>
        <v>1169</v>
      </c>
      <c r="AV331" s="31">
        <f t="shared" si="92"/>
        <v>6.0334610901859032</v>
      </c>
      <c r="AW331" s="37">
        <f t="shared" si="93"/>
        <v>3611.652980173058</v>
      </c>
      <c r="AX331" s="31">
        <f t="shared" si="94"/>
        <v>64.003483505196812</v>
      </c>
      <c r="AY331" s="42">
        <f t="shared" si="95"/>
        <v>2152.0405343580605</v>
      </c>
      <c r="AZ331" s="42">
        <f t="shared" si="99"/>
        <v>120629.20953778013</v>
      </c>
      <c r="BA331" s="42">
        <f t="shared" si="96"/>
        <v>2064.1595306579447</v>
      </c>
      <c r="BB331" s="42">
        <f t="shared" si="97"/>
        <v>408.5</v>
      </c>
      <c r="BC331" s="38">
        <f t="shared" si="100"/>
        <v>11.52</v>
      </c>
      <c r="BD331" s="38">
        <f t="shared" si="101"/>
        <v>50.086956521739125</v>
      </c>
      <c r="BE331" s="38">
        <f t="shared" si="102"/>
        <v>2.806</v>
      </c>
      <c r="BH331" s="34">
        <v>53.1</v>
      </c>
      <c r="BI331" s="43">
        <v>1.72</v>
      </c>
    </row>
    <row r="332" spans="14:61">
      <c r="N332" s="30" t="s">
        <v>65</v>
      </c>
      <c r="O332" s="40">
        <v>6.48</v>
      </c>
      <c r="P332" s="128">
        <v>12.3</v>
      </c>
      <c r="Q332" s="128">
        <v>0.26</v>
      </c>
      <c r="R332" s="128">
        <v>4.03</v>
      </c>
      <c r="S332" s="128">
        <v>0.42499999999999999</v>
      </c>
      <c r="T332" s="40">
        <v>0.72499999999999998</v>
      </c>
      <c r="U332" s="132">
        <v>0.625</v>
      </c>
      <c r="V332" s="40">
        <v>4.74</v>
      </c>
      <c r="W332" s="84" t="s">
        <v>127</v>
      </c>
      <c r="X332" s="35">
        <f t="shared" si="86"/>
        <v>44.03846153846154</v>
      </c>
      <c r="Y332" s="36">
        <f t="shared" si="87"/>
        <v>1.0437053540831016</v>
      </c>
      <c r="Z332" s="34">
        <v>7.19</v>
      </c>
      <c r="AA332" s="40">
        <v>156</v>
      </c>
      <c r="AB332" s="128">
        <v>25.4</v>
      </c>
      <c r="AC332" s="40">
        <v>4.91</v>
      </c>
      <c r="AD332" s="40">
        <v>4.66</v>
      </c>
      <c r="AE332" s="128">
        <v>2.31</v>
      </c>
      <c r="AF332" s="40">
        <v>0.84799999999999998</v>
      </c>
      <c r="AG332" s="41">
        <v>29.3</v>
      </c>
      <c r="AH332" s="40">
        <v>3.66</v>
      </c>
      <c r="AI332" s="41">
        <v>0.29299999999999998</v>
      </c>
      <c r="AJ332" s="40">
        <v>165</v>
      </c>
      <c r="AK332" s="40">
        <v>12</v>
      </c>
      <c r="AL332" s="40">
        <v>5.13</v>
      </c>
      <c r="AM332" s="40">
        <v>4.76</v>
      </c>
      <c r="AN332" s="40">
        <v>14.4</v>
      </c>
      <c r="AO332" s="130" t="s">
        <v>549</v>
      </c>
      <c r="AP332" s="39" t="s">
        <v>129</v>
      </c>
      <c r="AQ332" s="40">
        <f t="shared" si="88"/>
        <v>35.943678153911854</v>
      </c>
      <c r="AR332" s="41">
        <f t="shared" si="98"/>
        <v>11.875</v>
      </c>
      <c r="AS332" s="37">
        <f t="shared" si="89"/>
        <v>110.01610964740955</v>
      </c>
      <c r="AT332" s="42">
        <f t="shared" si="90"/>
        <v>1465</v>
      </c>
      <c r="AU332" s="31">
        <f t="shared" si="91"/>
        <v>889</v>
      </c>
      <c r="AV332" s="31">
        <f t="shared" si="92"/>
        <v>7.7761724353623114</v>
      </c>
      <c r="AW332" s="37">
        <f t="shared" si="93"/>
        <v>1293.0010081185278</v>
      </c>
      <c r="AX332" s="31">
        <f t="shared" si="94"/>
        <v>35.943678153911854</v>
      </c>
      <c r="AY332" s="42">
        <f t="shared" si="95"/>
        <v>1623.1959492943317</v>
      </c>
      <c r="AZ332" s="42">
        <f t="shared" si="99"/>
        <v>32842.225606210603</v>
      </c>
      <c r="BA332" s="42">
        <f t="shared" si="96"/>
        <v>1635.182184745262</v>
      </c>
      <c r="BB332" s="42">
        <f t="shared" si="97"/>
        <v>183</v>
      </c>
      <c r="BC332" s="38">
        <f t="shared" si="100"/>
        <v>11.575000000000001</v>
      </c>
      <c r="BD332" s="38">
        <f t="shared" si="101"/>
        <v>44.519230769230774</v>
      </c>
      <c r="BE332" s="38">
        <f t="shared" si="102"/>
        <v>3.1980000000000004</v>
      </c>
      <c r="BH332" s="34">
        <v>47.3</v>
      </c>
      <c r="BI332" s="43">
        <v>1.02</v>
      </c>
    </row>
    <row r="333" spans="14:61">
      <c r="N333" s="30" t="s">
        <v>550</v>
      </c>
      <c r="O333" s="40">
        <v>5.57</v>
      </c>
      <c r="P333" s="128">
        <v>12.2</v>
      </c>
      <c r="Q333" s="128">
        <v>0.23499999999999999</v>
      </c>
      <c r="R333" s="128">
        <v>4.01</v>
      </c>
      <c r="S333" s="128">
        <v>0.35</v>
      </c>
      <c r="T333" s="40">
        <v>0.65</v>
      </c>
      <c r="U333" s="132">
        <v>0.5625</v>
      </c>
      <c r="V333" s="40">
        <v>5.72</v>
      </c>
      <c r="W333" s="84" t="s">
        <v>127</v>
      </c>
      <c r="X333" s="35">
        <f t="shared" si="86"/>
        <v>48.936170212765958</v>
      </c>
      <c r="Y333" s="36">
        <f t="shared" si="87"/>
        <v>1.0227000992264283</v>
      </c>
      <c r="Z333" s="34">
        <v>8.67</v>
      </c>
      <c r="AA333" s="40">
        <v>130</v>
      </c>
      <c r="AB333" s="128">
        <v>21.3</v>
      </c>
      <c r="AC333" s="40">
        <v>4.82</v>
      </c>
      <c r="AD333" s="40">
        <v>3.76</v>
      </c>
      <c r="AE333" s="128">
        <v>1.88</v>
      </c>
      <c r="AF333" s="40">
        <v>0.82199999999999995</v>
      </c>
      <c r="AG333" s="41">
        <v>24.7</v>
      </c>
      <c r="AH333" s="40">
        <v>2.98</v>
      </c>
      <c r="AI333" s="41">
        <v>0.18</v>
      </c>
      <c r="AJ333" s="40">
        <v>131</v>
      </c>
      <c r="AK333" s="40">
        <v>11.8</v>
      </c>
      <c r="AL333" s="40">
        <v>4.1399999999999997</v>
      </c>
      <c r="AM333" s="40">
        <v>3.9</v>
      </c>
      <c r="AN333" s="40">
        <v>12.1</v>
      </c>
      <c r="AO333" s="130" t="s">
        <v>549</v>
      </c>
      <c r="AP333" s="39" t="s">
        <v>129</v>
      </c>
      <c r="AQ333" s="40">
        <f t="shared" si="88"/>
        <v>34.841631418060778</v>
      </c>
      <c r="AR333" s="41">
        <f t="shared" si="98"/>
        <v>11.85</v>
      </c>
      <c r="AS333" s="37">
        <f t="shared" si="89"/>
        <v>103.60223804679954</v>
      </c>
      <c r="AT333" s="42">
        <f t="shared" si="90"/>
        <v>1235</v>
      </c>
      <c r="AU333" s="31">
        <f t="shared" si="91"/>
        <v>745.5</v>
      </c>
      <c r="AV333" s="31">
        <f t="shared" si="92"/>
        <v>7.1189017084007444</v>
      </c>
      <c r="AW333" s="37">
        <f t="shared" si="93"/>
        <v>1239.0450541924295</v>
      </c>
      <c r="AX333" s="31">
        <f t="shared" si="94"/>
        <v>34.841631418060778</v>
      </c>
      <c r="AY333" s="42">
        <f t="shared" si="95"/>
        <v>1371.9792827744502</v>
      </c>
      <c r="AZ333" s="42">
        <f t="shared" si="99"/>
        <v>26391.65965429875</v>
      </c>
      <c r="BA333" s="42">
        <f t="shared" si="96"/>
        <v>1379.6253115152879</v>
      </c>
      <c r="BB333" s="42">
        <f t="shared" si="97"/>
        <v>149</v>
      </c>
      <c r="BC333" s="38">
        <f t="shared" si="100"/>
        <v>11.549999999999999</v>
      </c>
      <c r="BD333" s="38">
        <f t="shared" si="101"/>
        <v>49.148936170212764</v>
      </c>
      <c r="BE333" s="38">
        <f t="shared" si="102"/>
        <v>2.8669999999999995</v>
      </c>
      <c r="BH333" s="34">
        <v>51.7</v>
      </c>
      <c r="BI333" s="43">
        <v>1</v>
      </c>
    </row>
    <row r="334" spans="14:61">
      <c r="N334" s="30" t="s">
        <v>551</v>
      </c>
      <c r="O334" s="40">
        <v>4.71</v>
      </c>
      <c r="P334" s="128">
        <v>12</v>
      </c>
      <c r="Q334" s="128">
        <v>0.22</v>
      </c>
      <c r="R334" s="128">
        <v>3.99</v>
      </c>
      <c r="S334" s="128">
        <v>0.26500000000000001</v>
      </c>
      <c r="T334" s="40">
        <v>0.56499999999999995</v>
      </c>
      <c r="U334" s="132">
        <v>0.5625</v>
      </c>
      <c r="V334" s="40">
        <v>7.53</v>
      </c>
      <c r="W334" s="84" t="s">
        <v>127</v>
      </c>
      <c r="X334" s="35">
        <f t="shared" si="86"/>
        <v>52.13636363636364</v>
      </c>
      <c r="Y334" s="36">
        <f t="shared" si="87"/>
        <v>0.98367820297978725</v>
      </c>
      <c r="Z334" s="34">
        <v>11.3</v>
      </c>
      <c r="AA334" s="40">
        <v>103</v>
      </c>
      <c r="AB334" s="128">
        <v>17.100000000000001</v>
      </c>
      <c r="AC334" s="40">
        <v>4.67</v>
      </c>
      <c r="AD334" s="40">
        <v>2.82</v>
      </c>
      <c r="AE334" s="128">
        <v>1.41</v>
      </c>
      <c r="AF334" s="40">
        <v>0.77300000000000002</v>
      </c>
      <c r="AG334" s="41">
        <v>20.100000000000001</v>
      </c>
      <c r="AH334" s="40">
        <v>2.2599999999999998</v>
      </c>
      <c r="AI334" s="41">
        <v>0.10299999999999999</v>
      </c>
      <c r="AJ334" s="40">
        <v>96.9</v>
      </c>
      <c r="AK334" s="40">
        <v>11.7</v>
      </c>
      <c r="AL334" s="40">
        <v>3.09</v>
      </c>
      <c r="AM334" s="40">
        <v>2.93</v>
      </c>
      <c r="AN334" s="40">
        <v>9.81</v>
      </c>
      <c r="AO334" s="130" t="s">
        <v>549</v>
      </c>
      <c r="AP334" s="39" t="s">
        <v>129</v>
      </c>
      <c r="AQ334" s="40">
        <f t="shared" si="88"/>
        <v>32.764697185110691</v>
      </c>
      <c r="AR334" s="41">
        <f t="shared" si="98"/>
        <v>11.734999999999999</v>
      </c>
      <c r="AS334" s="37">
        <f t="shared" si="89"/>
        <v>96.583393873768898</v>
      </c>
      <c r="AT334" s="42">
        <f t="shared" si="90"/>
        <v>1005.0000000000001</v>
      </c>
      <c r="AU334" s="31">
        <f t="shared" si="91"/>
        <v>598.5</v>
      </c>
      <c r="AV334" s="31">
        <f t="shared" si="92"/>
        <v>6.3696067311296707</v>
      </c>
      <c r="AW334" s="37">
        <f t="shared" si="93"/>
        <v>1144.6685403847366</v>
      </c>
      <c r="AX334" s="31">
        <f t="shared" si="94"/>
        <v>32.764697185110691</v>
      </c>
      <c r="AY334" s="42">
        <f t="shared" si="95"/>
        <v>1114.3323707280838</v>
      </c>
      <c r="AZ334" s="42">
        <f t="shared" si="99"/>
        <v>19573.832040578996</v>
      </c>
      <c r="BA334" s="42">
        <f t="shared" si="96"/>
        <v>1125.1025314217866</v>
      </c>
      <c r="BB334" s="42">
        <f t="shared" si="97"/>
        <v>112.99999999999999</v>
      </c>
      <c r="BC334" s="38">
        <f t="shared" si="100"/>
        <v>11.435</v>
      </c>
      <c r="BD334" s="38">
        <f t="shared" si="101"/>
        <v>51.977272727272727</v>
      </c>
      <c r="BE334" s="38">
        <f t="shared" si="102"/>
        <v>2.64</v>
      </c>
      <c r="BH334" s="34">
        <v>54.5</v>
      </c>
      <c r="BI334" s="43">
        <v>0.96</v>
      </c>
    </row>
    <row r="335" spans="14:61">
      <c r="N335" s="30" t="s">
        <v>552</v>
      </c>
      <c r="O335" s="40">
        <v>4.16</v>
      </c>
      <c r="P335" s="128">
        <v>11.9</v>
      </c>
      <c r="Q335" s="128">
        <v>0.2</v>
      </c>
      <c r="R335" s="128">
        <v>3.97</v>
      </c>
      <c r="S335" s="128">
        <v>0.22500000000000001</v>
      </c>
      <c r="T335" s="40">
        <v>0.52500000000000002</v>
      </c>
      <c r="U335" s="132">
        <v>0.5625</v>
      </c>
      <c r="V335" s="40">
        <v>8.82</v>
      </c>
      <c r="W335" s="34">
        <v>54.3</v>
      </c>
      <c r="X335" s="35">
        <f t="shared" si="86"/>
        <v>57.25</v>
      </c>
      <c r="Y335" s="36">
        <f t="shared" si="87"/>
        <v>0.96155983455853722</v>
      </c>
      <c r="Z335" s="34">
        <v>13.3</v>
      </c>
      <c r="AA335" s="40">
        <v>88.6</v>
      </c>
      <c r="AB335" s="128">
        <v>14.9</v>
      </c>
      <c r="AC335" s="40">
        <v>4.62</v>
      </c>
      <c r="AD335" s="40">
        <v>2.36</v>
      </c>
      <c r="AE335" s="128">
        <v>1.19</v>
      </c>
      <c r="AF335" s="40">
        <v>0.753</v>
      </c>
      <c r="AG335" s="41">
        <v>17.399999999999999</v>
      </c>
      <c r="AH335" s="40">
        <v>1.9</v>
      </c>
      <c r="AI335" s="41">
        <v>7.0400000000000004E-2</v>
      </c>
      <c r="AJ335" s="40">
        <v>80.599999999999994</v>
      </c>
      <c r="AK335" s="40">
        <v>11.6</v>
      </c>
      <c r="AL335" s="40">
        <v>2.59</v>
      </c>
      <c r="AM335" s="40">
        <v>2.48</v>
      </c>
      <c r="AN335" s="40">
        <v>8.5</v>
      </c>
      <c r="AO335" s="130" t="s">
        <v>549</v>
      </c>
      <c r="AP335" s="39" t="s">
        <v>129</v>
      </c>
      <c r="AQ335" s="40">
        <f t="shared" si="88"/>
        <v>31.916968926763708</v>
      </c>
      <c r="AR335" s="41">
        <f t="shared" si="98"/>
        <v>11.675000000000001</v>
      </c>
      <c r="AS335" s="37">
        <f t="shared" si="89"/>
        <v>92.809157097119737</v>
      </c>
      <c r="AT335" s="42">
        <f t="shared" si="90"/>
        <v>869.99999999999989</v>
      </c>
      <c r="AU335" s="31">
        <f t="shared" si="91"/>
        <v>521.5</v>
      </c>
      <c r="AV335" s="31">
        <f t="shared" si="92"/>
        <v>5.7232300311661186</v>
      </c>
      <c r="AW335" s="37">
        <f t="shared" si="93"/>
        <v>1092.8169364686428</v>
      </c>
      <c r="AX335" s="31">
        <f t="shared" si="94"/>
        <v>31.916968926763708</v>
      </c>
      <c r="AY335" s="42">
        <f t="shared" si="95"/>
        <v>963.3857665792583</v>
      </c>
      <c r="AZ335" s="42">
        <f t="shared" si="99"/>
        <v>16282.972353382778</v>
      </c>
      <c r="BA335" s="42">
        <f t="shared" si="96"/>
        <v>972.96613087452045</v>
      </c>
      <c r="BB335" s="42">
        <f t="shared" si="97"/>
        <v>95</v>
      </c>
      <c r="BC335" s="38">
        <f t="shared" si="100"/>
        <v>11.375</v>
      </c>
      <c r="BD335" s="38">
        <f t="shared" si="101"/>
        <v>56.875</v>
      </c>
      <c r="BE335" s="38">
        <f t="shared" si="102"/>
        <v>2.3800000000000003</v>
      </c>
      <c r="BH335" s="34">
        <v>59.6</v>
      </c>
      <c r="BI335" s="43">
        <v>0.95</v>
      </c>
    </row>
    <row r="336" spans="14:61">
      <c r="N336" s="30" t="s">
        <v>553</v>
      </c>
      <c r="O336" s="40">
        <v>32.9</v>
      </c>
      <c r="P336" s="128">
        <v>11.4</v>
      </c>
      <c r="Q336" s="128">
        <v>0.755</v>
      </c>
      <c r="R336" s="128">
        <v>10.4</v>
      </c>
      <c r="S336" s="128">
        <v>1.25</v>
      </c>
      <c r="T336" s="40">
        <v>1.75</v>
      </c>
      <c r="U336" s="129">
        <v>1</v>
      </c>
      <c r="V336" s="40">
        <v>4.17</v>
      </c>
      <c r="W336" s="84" t="s">
        <v>127</v>
      </c>
      <c r="X336" s="35">
        <f t="shared" si="86"/>
        <v>11.788079470198676</v>
      </c>
      <c r="Y336" s="36">
        <f t="shared" si="87"/>
        <v>3.0831080998816045</v>
      </c>
      <c r="Z336" s="34">
        <v>0.87</v>
      </c>
      <c r="AA336" s="40">
        <v>716</v>
      </c>
      <c r="AB336" s="128">
        <v>126</v>
      </c>
      <c r="AC336" s="40">
        <v>4.66</v>
      </c>
      <c r="AD336" s="40">
        <v>236</v>
      </c>
      <c r="AE336" s="128">
        <v>45.3</v>
      </c>
      <c r="AF336" s="40">
        <v>2.68</v>
      </c>
      <c r="AG336" s="41">
        <v>147</v>
      </c>
      <c r="AH336" s="40">
        <v>69.2</v>
      </c>
      <c r="AI336" s="41">
        <v>15.1</v>
      </c>
      <c r="AJ336" s="40">
        <v>6030</v>
      </c>
      <c r="AK336" s="40">
        <v>26.3</v>
      </c>
      <c r="AL336" s="40">
        <v>85.7</v>
      </c>
      <c r="AM336" s="40">
        <v>30.5</v>
      </c>
      <c r="AN336" s="40">
        <v>73.2</v>
      </c>
      <c r="AO336" s="130" t="s">
        <v>115</v>
      </c>
      <c r="AP336" s="39" t="s">
        <v>69</v>
      </c>
      <c r="AQ336" s="40">
        <f t="shared" si="88"/>
        <v>113.59558661849501</v>
      </c>
      <c r="AR336" s="41">
        <f t="shared" si="98"/>
        <v>10.15</v>
      </c>
      <c r="AS336" s="37">
        <f t="shared" si="89"/>
        <v>772.10287086751487</v>
      </c>
      <c r="AT336" s="42">
        <f t="shared" si="90"/>
        <v>7350</v>
      </c>
      <c r="AU336" s="31">
        <f t="shared" si="91"/>
        <v>4410</v>
      </c>
      <c r="AV336" s="31">
        <f t="shared" si="92"/>
        <v>4.4646430955625007</v>
      </c>
      <c r="AW336" s="37">
        <f t="shared" si="93"/>
        <v>11319.729663171804</v>
      </c>
      <c r="AX336" s="31">
        <f t="shared" si="94"/>
        <v>113.59558661849501</v>
      </c>
      <c r="AY336" s="42">
        <f t="shared" si="95"/>
        <v>7787.5153191918607</v>
      </c>
      <c r="AZ336" s="42">
        <f t="shared" si="99"/>
        <v>1426285.9375596473</v>
      </c>
      <c r="BA336" s="42">
        <f t="shared" si="96"/>
        <v>8218.6382346372757</v>
      </c>
      <c r="BB336" s="42">
        <f t="shared" si="97"/>
        <v>3460</v>
      </c>
      <c r="BC336" s="38">
        <f t="shared" si="100"/>
        <v>9.65</v>
      </c>
      <c r="BD336" s="38">
        <f t="shared" si="101"/>
        <v>12.781456953642385</v>
      </c>
      <c r="BE336" s="38">
        <f t="shared" si="102"/>
        <v>8.6070000000000011</v>
      </c>
      <c r="BH336" s="34">
        <v>15</v>
      </c>
      <c r="BI336" s="43">
        <v>2.88</v>
      </c>
    </row>
    <row r="337" spans="14:61">
      <c r="N337" s="30" t="s">
        <v>554</v>
      </c>
      <c r="O337" s="40">
        <v>29.4</v>
      </c>
      <c r="P337" s="128">
        <v>11.1</v>
      </c>
      <c r="Q337" s="128">
        <v>0.68</v>
      </c>
      <c r="R337" s="128">
        <v>10.3</v>
      </c>
      <c r="S337" s="128">
        <v>1.1200000000000001</v>
      </c>
      <c r="T337" s="40">
        <v>1.62</v>
      </c>
      <c r="U337" s="129">
        <v>1</v>
      </c>
      <c r="V337" s="40">
        <v>4.62</v>
      </c>
      <c r="W337" s="84" t="s">
        <v>127</v>
      </c>
      <c r="X337" s="35">
        <f t="shared" si="86"/>
        <v>13.02941176470588</v>
      </c>
      <c r="Y337" s="36">
        <f t="shared" si="87"/>
        <v>3.036871628125609</v>
      </c>
      <c r="Z337" s="34">
        <v>0.96</v>
      </c>
      <c r="AA337" s="40">
        <v>623</v>
      </c>
      <c r="AB337" s="128">
        <v>112</v>
      </c>
      <c r="AC337" s="40">
        <v>4.5999999999999996</v>
      </c>
      <c r="AD337" s="40">
        <v>207</v>
      </c>
      <c r="AE337" s="128">
        <v>40</v>
      </c>
      <c r="AF337" s="40">
        <v>2.65</v>
      </c>
      <c r="AG337" s="41">
        <v>130</v>
      </c>
      <c r="AH337" s="40">
        <v>61</v>
      </c>
      <c r="AI337" s="41">
        <v>10.9</v>
      </c>
      <c r="AJ337" s="40">
        <v>5150</v>
      </c>
      <c r="AK337" s="40">
        <v>25.8</v>
      </c>
      <c r="AL337" s="40">
        <v>74.7</v>
      </c>
      <c r="AM337" s="40">
        <v>27</v>
      </c>
      <c r="AN337" s="40">
        <v>64.5</v>
      </c>
      <c r="AO337" s="130" t="s">
        <v>115</v>
      </c>
      <c r="AP337" s="39" t="s">
        <v>69</v>
      </c>
      <c r="AQ337" s="40">
        <f t="shared" si="88"/>
        <v>112.32399423097453</v>
      </c>
      <c r="AR337" s="41">
        <f t="shared" si="98"/>
        <v>9.98</v>
      </c>
      <c r="AS337" s="37">
        <f t="shared" si="89"/>
        <v>693.84044159388407</v>
      </c>
      <c r="AT337" s="42">
        <f t="shared" si="90"/>
        <v>6500</v>
      </c>
      <c r="AU337" s="31">
        <f t="shared" si="91"/>
        <v>3920</v>
      </c>
      <c r="AV337" s="31">
        <f t="shared" si="92"/>
        <v>4.4366758871566159</v>
      </c>
      <c r="AW337" s="37">
        <f t="shared" si="93"/>
        <v>10963.927380377987</v>
      </c>
      <c r="AX337" s="31">
        <f t="shared" si="94"/>
        <v>112.32399423097453</v>
      </c>
      <c r="AY337" s="42">
        <f t="shared" si="95"/>
        <v>6929.1330129140406</v>
      </c>
      <c r="AZ337" s="42">
        <f t="shared" si="99"/>
        <v>1227959.8666023347</v>
      </c>
      <c r="BA337" s="42">
        <f t="shared" si="96"/>
        <v>7262.2743691714859</v>
      </c>
      <c r="BB337" s="42">
        <f t="shared" si="97"/>
        <v>3050</v>
      </c>
      <c r="BC337" s="38">
        <f t="shared" si="100"/>
        <v>9.48</v>
      </c>
      <c r="BD337" s="38">
        <f t="shared" si="101"/>
        <v>13.941176470588236</v>
      </c>
      <c r="BE337" s="38">
        <f t="shared" si="102"/>
        <v>7.548</v>
      </c>
      <c r="BH337" s="34">
        <v>16.3</v>
      </c>
      <c r="BI337" s="43">
        <v>2.85</v>
      </c>
    </row>
    <row r="338" spans="14:61">
      <c r="N338" s="30" t="s">
        <v>555</v>
      </c>
      <c r="O338" s="40">
        <v>25.9</v>
      </c>
      <c r="P338" s="128">
        <v>10.8</v>
      </c>
      <c r="Q338" s="128">
        <v>0.60499999999999998</v>
      </c>
      <c r="R338" s="128">
        <v>10.3</v>
      </c>
      <c r="S338" s="128">
        <v>0.99</v>
      </c>
      <c r="T338" s="40">
        <v>1.49</v>
      </c>
      <c r="U338" s="132">
        <v>0.9375</v>
      </c>
      <c r="V338" s="40">
        <v>5.18</v>
      </c>
      <c r="W338" s="84" t="s">
        <v>127</v>
      </c>
      <c r="X338" s="35">
        <f t="shared" si="86"/>
        <v>14.578512396694215</v>
      </c>
      <c r="Y338" s="36">
        <f t="shared" si="87"/>
        <v>2.985574454327848</v>
      </c>
      <c r="Z338" s="34">
        <v>1.07</v>
      </c>
      <c r="AA338" s="40">
        <v>534</v>
      </c>
      <c r="AB338" s="128">
        <v>98.5</v>
      </c>
      <c r="AC338" s="40">
        <v>4.54</v>
      </c>
      <c r="AD338" s="40">
        <v>179</v>
      </c>
      <c r="AE338" s="128">
        <v>34.799999999999997</v>
      </c>
      <c r="AF338" s="40">
        <v>2.63</v>
      </c>
      <c r="AG338" s="41">
        <v>113</v>
      </c>
      <c r="AH338" s="40">
        <v>53.1</v>
      </c>
      <c r="AI338" s="41">
        <v>7.53</v>
      </c>
      <c r="AJ338" s="40">
        <v>4340</v>
      </c>
      <c r="AK338" s="40">
        <v>25.3</v>
      </c>
      <c r="AL338" s="40">
        <v>64.2</v>
      </c>
      <c r="AM338" s="40">
        <v>23.5</v>
      </c>
      <c r="AN338" s="40">
        <v>56</v>
      </c>
      <c r="AO338" s="130" t="s">
        <v>115</v>
      </c>
      <c r="AP338" s="39" t="s">
        <v>69</v>
      </c>
      <c r="AQ338" s="40">
        <f t="shared" si="88"/>
        <v>111.47626597262756</v>
      </c>
      <c r="AR338" s="41">
        <f t="shared" si="98"/>
        <v>9.81</v>
      </c>
      <c r="AS338" s="37">
        <f t="shared" si="89"/>
        <v>613.85123818205989</v>
      </c>
      <c r="AT338" s="42">
        <f t="shared" si="90"/>
        <v>5650</v>
      </c>
      <c r="AU338" s="31">
        <f t="shared" si="91"/>
        <v>3447.5</v>
      </c>
      <c r="AV338" s="31">
        <f t="shared" si="92"/>
        <v>4.3841754104776784</v>
      </c>
      <c r="AW338" s="37">
        <f t="shared" si="93"/>
        <v>10578.592393583212</v>
      </c>
      <c r="AX338" s="31">
        <f t="shared" si="94"/>
        <v>111.47626597262756</v>
      </c>
      <c r="AY338" s="42">
        <f t="shared" si="95"/>
        <v>6070.3383677256115</v>
      </c>
      <c r="AZ338" s="42">
        <f t="shared" si="99"/>
        <v>1041991.3507679465</v>
      </c>
      <c r="BA338" s="42">
        <f t="shared" si="96"/>
        <v>6300.740038023333</v>
      </c>
      <c r="BB338" s="42">
        <f t="shared" si="97"/>
        <v>2655</v>
      </c>
      <c r="BC338" s="38">
        <f t="shared" si="100"/>
        <v>9.31</v>
      </c>
      <c r="BD338" s="38">
        <f t="shared" si="101"/>
        <v>15.388429752066116</v>
      </c>
      <c r="BE338" s="38">
        <f t="shared" si="102"/>
        <v>6.5339999999999998</v>
      </c>
      <c r="BH338" s="34">
        <v>17.899999999999999</v>
      </c>
      <c r="BI338" s="43">
        <v>2.83</v>
      </c>
    </row>
    <row r="339" spans="14:61">
      <c r="N339" s="30" t="s">
        <v>556</v>
      </c>
      <c r="O339" s="40">
        <v>22.6</v>
      </c>
      <c r="P339" s="128">
        <v>10.6</v>
      </c>
      <c r="Q339" s="128">
        <v>0.53</v>
      </c>
      <c r="R339" s="128">
        <v>10.199999999999999</v>
      </c>
      <c r="S339" s="128">
        <v>0.87</v>
      </c>
      <c r="T339" s="40">
        <v>1.37</v>
      </c>
      <c r="U339" s="132">
        <v>0.875</v>
      </c>
      <c r="V339" s="40">
        <v>5.86</v>
      </c>
      <c r="W339" s="84" t="s">
        <v>127</v>
      </c>
      <c r="X339" s="35">
        <f t="shared" si="86"/>
        <v>16.716981132075471</v>
      </c>
      <c r="Y339" s="36">
        <f t="shared" si="87"/>
        <v>2.9532839202916668</v>
      </c>
      <c r="Z339" s="34">
        <v>1.2</v>
      </c>
      <c r="AA339" s="40">
        <v>455</v>
      </c>
      <c r="AB339" s="128">
        <v>85.9</v>
      </c>
      <c r="AC339" s="40">
        <v>4.49</v>
      </c>
      <c r="AD339" s="40">
        <v>154</v>
      </c>
      <c r="AE339" s="128">
        <v>30.1</v>
      </c>
      <c r="AF339" s="40">
        <v>2.6</v>
      </c>
      <c r="AG339" s="41">
        <v>97.6</v>
      </c>
      <c r="AH339" s="40">
        <v>45.9</v>
      </c>
      <c r="AI339" s="41">
        <v>5.1100000000000003</v>
      </c>
      <c r="AJ339" s="40">
        <v>3640</v>
      </c>
      <c r="AK339" s="40">
        <v>24.8</v>
      </c>
      <c r="AL339" s="40">
        <v>54.9</v>
      </c>
      <c r="AM339" s="40">
        <v>20.399999999999999</v>
      </c>
      <c r="AN339" s="40">
        <v>48.3</v>
      </c>
      <c r="AO339" s="130" t="s">
        <v>115</v>
      </c>
      <c r="AP339" s="39" t="s">
        <v>69</v>
      </c>
      <c r="AQ339" s="40">
        <f t="shared" si="88"/>
        <v>110.2046735851071</v>
      </c>
      <c r="AR339" s="41">
        <f t="shared" si="98"/>
        <v>9.73</v>
      </c>
      <c r="AS339" s="37">
        <f t="shared" si="89"/>
        <v>543.75930091137377</v>
      </c>
      <c r="AT339" s="42">
        <f t="shared" si="90"/>
        <v>4880</v>
      </c>
      <c r="AU339" s="31">
        <f t="shared" si="91"/>
        <v>3006.5</v>
      </c>
      <c r="AV339" s="31">
        <f t="shared" si="92"/>
        <v>4.3212547667957857</v>
      </c>
      <c r="AW339" s="37">
        <f t="shared" si="93"/>
        <v>10334.246028930007</v>
      </c>
      <c r="AX339" s="31">
        <f t="shared" si="94"/>
        <v>110.2046735851071</v>
      </c>
      <c r="AY339" s="42">
        <f t="shared" si="95"/>
        <v>5288.810896690803</v>
      </c>
      <c r="AZ339" s="42">
        <f t="shared" si="99"/>
        <v>887711.73388508765</v>
      </c>
      <c r="BA339" s="42">
        <f t="shared" si="96"/>
        <v>5433.5352831948758</v>
      </c>
      <c r="BB339" s="42">
        <f t="shared" si="97"/>
        <v>2295</v>
      </c>
      <c r="BC339" s="38">
        <f t="shared" si="100"/>
        <v>9.23</v>
      </c>
      <c r="BD339" s="38">
        <f t="shared" si="101"/>
        <v>17.415094339622641</v>
      </c>
      <c r="BE339" s="38">
        <f t="shared" si="102"/>
        <v>5.6180000000000003</v>
      </c>
      <c r="BH339" s="34">
        <v>20</v>
      </c>
      <c r="BI339" s="43">
        <v>2.8</v>
      </c>
    </row>
    <row r="340" spans="14:61">
      <c r="N340" s="30" t="s">
        <v>557</v>
      </c>
      <c r="O340" s="40">
        <v>20</v>
      </c>
      <c r="P340" s="128">
        <v>10.4</v>
      </c>
      <c r="Q340" s="128">
        <v>0.47</v>
      </c>
      <c r="R340" s="128">
        <v>10.1</v>
      </c>
      <c r="S340" s="128">
        <v>0.77</v>
      </c>
      <c r="T340" s="40">
        <v>1.27</v>
      </c>
      <c r="U340" s="132">
        <v>0.875</v>
      </c>
      <c r="V340" s="40">
        <v>6.58</v>
      </c>
      <c r="W340" s="84" t="s">
        <v>127</v>
      </c>
      <c r="X340" s="35">
        <f t="shared" si="86"/>
        <v>18.851063829787233</v>
      </c>
      <c r="Y340" s="36">
        <f t="shared" si="87"/>
        <v>2.9194605100513025</v>
      </c>
      <c r="Z340" s="34">
        <v>1.33</v>
      </c>
      <c r="AA340" s="40">
        <v>394</v>
      </c>
      <c r="AB340" s="128">
        <v>75.7</v>
      </c>
      <c r="AC340" s="40">
        <v>4.4400000000000004</v>
      </c>
      <c r="AD340" s="40">
        <v>134</v>
      </c>
      <c r="AE340" s="128">
        <v>26.4</v>
      </c>
      <c r="AF340" s="40">
        <v>2.59</v>
      </c>
      <c r="AG340" s="41">
        <v>85.3</v>
      </c>
      <c r="AH340" s="40">
        <v>40.1</v>
      </c>
      <c r="AI340" s="41">
        <v>3.56</v>
      </c>
      <c r="AJ340" s="40">
        <v>3110</v>
      </c>
      <c r="AK340" s="40">
        <v>24.4</v>
      </c>
      <c r="AL340" s="40">
        <v>47.6</v>
      </c>
      <c r="AM340" s="40">
        <v>17.899999999999999</v>
      </c>
      <c r="AN340" s="40">
        <v>42.2</v>
      </c>
      <c r="AO340" s="130" t="s">
        <v>115</v>
      </c>
      <c r="AP340" s="39" t="s">
        <v>69</v>
      </c>
      <c r="AQ340" s="40">
        <f t="shared" si="88"/>
        <v>109.78080945593359</v>
      </c>
      <c r="AR340" s="41">
        <f t="shared" si="98"/>
        <v>9.6300000000000008</v>
      </c>
      <c r="AS340" s="37">
        <f t="shared" si="89"/>
        <v>487.66227981895668</v>
      </c>
      <c r="AT340" s="42">
        <f t="shared" si="90"/>
        <v>4265</v>
      </c>
      <c r="AU340" s="31">
        <f t="shared" si="91"/>
        <v>2649.5</v>
      </c>
      <c r="AV340" s="31">
        <f t="shared" si="92"/>
        <v>4.2751500846231538</v>
      </c>
      <c r="AW340" s="37">
        <f t="shared" si="93"/>
        <v>10086.7723922234</v>
      </c>
      <c r="AX340" s="31">
        <f t="shared" si="94"/>
        <v>109.78080945593359</v>
      </c>
      <c r="AY340" s="42">
        <f t="shared" si="95"/>
        <v>4667.6370955154116</v>
      </c>
      <c r="AZ340" s="42">
        <f t="shared" si="99"/>
        <v>763568.67009131145</v>
      </c>
      <c r="BA340" s="42">
        <f t="shared" si="96"/>
        <v>4742.3078462777275</v>
      </c>
      <c r="BB340" s="42">
        <f t="shared" si="97"/>
        <v>2005</v>
      </c>
      <c r="BC340" s="38">
        <f t="shared" si="100"/>
        <v>9.1300000000000008</v>
      </c>
      <c r="BD340" s="38">
        <f t="shared" si="101"/>
        <v>19.425531914893618</v>
      </c>
      <c r="BE340" s="38">
        <f t="shared" si="102"/>
        <v>4.8879999999999999</v>
      </c>
      <c r="BH340" s="34">
        <v>22.1</v>
      </c>
      <c r="BI340" s="43">
        <v>2.79</v>
      </c>
    </row>
    <row r="341" spans="14:61">
      <c r="N341" s="30" t="s">
        <v>558</v>
      </c>
      <c r="O341" s="40">
        <v>17.600000000000001</v>
      </c>
      <c r="P341" s="128">
        <v>10.199999999999999</v>
      </c>
      <c r="Q341" s="128">
        <v>0.42</v>
      </c>
      <c r="R341" s="128">
        <v>10.1</v>
      </c>
      <c r="S341" s="128">
        <v>0.68</v>
      </c>
      <c r="T341" s="40">
        <v>1.18</v>
      </c>
      <c r="U341" s="132">
        <v>0.8125</v>
      </c>
      <c r="V341" s="40">
        <v>7.41</v>
      </c>
      <c r="W341" s="84" t="s">
        <v>127</v>
      </c>
      <c r="X341" s="35">
        <f t="shared" si="86"/>
        <v>21.047619047619047</v>
      </c>
      <c r="Y341" s="36">
        <f t="shared" si="87"/>
        <v>2.8771967033147412</v>
      </c>
      <c r="Z341" s="34">
        <v>1.49</v>
      </c>
      <c r="AA341" s="40">
        <v>341</v>
      </c>
      <c r="AB341" s="128">
        <v>66.7</v>
      </c>
      <c r="AC341" s="40">
        <v>4.3899999999999997</v>
      </c>
      <c r="AD341" s="40">
        <v>116</v>
      </c>
      <c r="AE341" s="128">
        <v>23</v>
      </c>
      <c r="AF341" s="40">
        <v>2.57</v>
      </c>
      <c r="AG341" s="41">
        <v>74.599999999999994</v>
      </c>
      <c r="AH341" s="40">
        <v>35</v>
      </c>
      <c r="AI341" s="41">
        <v>2.48</v>
      </c>
      <c r="AJ341" s="40">
        <v>2640</v>
      </c>
      <c r="AK341" s="40">
        <v>24</v>
      </c>
      <c r="AL341" s="40">
        <v>41.2</v>
      </c>
      <c r="AM341" s="40">
        <v>15.7</v>
      </c>
      <c r="AN341" s="40">
        <v>36.799999999999997</v>
      </c>
      <c r="AO341" s="130" t="s">
        <v>115</v>
      </c>
      <c r="AP341" s="39" t="s">
        <v>69</v>
      </c>
      <c r="AQ341" s="40">
        <f t="shared" si="88"/>
        <v>108.93308119758663</v>
      </c>
      <c r="AR341" s="41">
        <f t="shared" si="98"/>
        <v>9.52</v>
      </c>
      <c r="AS341" s="37">
        <f t="shared" si="89"/>
        <v>438.9452872698817</v>
      </c>
      <c r="AT341" s="42">
        <f t="shared" si="90"/>
        <v>3729.9999999999995</v>
      </c>
      <c r="AU341" s="31">
        <f t="shared" si="91"/>
        <v>2334.5</v>
      </c>
      <c r="AV341" s="31">
        <f t="shared" si="92"/>
        <v>4.2286314697532443</v>
      </c>
      <c r="AW341" s="37">
        <f t="shared" si="93"/>
        <v>9787.5324190424781</v>
      </c>
      <c r="AX341" s="31">
        <f t="shared" si="94"/>
        <v>108.93308119758663</v>
      </c>
      <c r="AY341" s="42">
        <f t="shared" si="95"/>
        <v>4124.6712043211492</v>
      </c>
      <c r="AZ341" s="42">
        <f t="shared" si="99"/>
        <v>652828.41235013329</v>
      </c>
      <c r="BA341" s="42">
        <f t="shared" si="96"/>
        <v>4142.3077062708553</v>
      </c>
      <c r="BB341" s="42">
        <f t="shared" si="97"/>
        <v>1750</v>
      </c>
      <c r="BC341" s="38">
        <f t="shared" si="100"/>
        <v>9.02</v>
      </c>
      <c r="BD341" s="38">
        <f t="shared" si="101"/>
        <v>21.476190476190474</v>
      </c>
      <c r="BE341" s="38">
        <f t="shared" si="102"/>
        <v>4.2839999999999998</v>
      </c>
      <c r="BH341" s="34">
        <v>24.3</v>
      </c>
      <c r="BI341" s="43">
        <v>2.77</v>
      </c>
    </row>
    <row r="342" spans="14:61">
      <c r="N342" s="30" t="s">
        <v>559</v>
      </c>
      <c r="O342" s="40">
        <v>15.8</v>
      </c>
      <c r="P342" s="128">
        <v>10.1</v>
      </c>
      <c r="Q342" s="128">
        <v>0.37</v>
      </c>
      <c r="R342" s="128">
        <v>10</v>
      </c>
      <c r="S342" s="128">
        <v>0.61499999999999999</v>
      </c>
      <c r="T342" s="40">
        <v>1.1200000000000001</v>
      </c>
      <c r="U342" s="132">
        <v>0.8125</v>
      </c>
      <c r="V342" s="40">
        <v>8.15</v>
      </c>
      <c r="W342" s="34">
        <v>63.5</v>
      </c>
      <c r="X342" s="35">
        <f t="shared" si="86"/>
        <v>23.972972972972972</v>
      </c>
      <c r="Y342" s="36">
        <f t="shared" si="87"/>
        <v>2.8532948790243648</v>
      </c>
      <c r="Z342" s="34">
        <v>1.64</v>
      </c>
      <c r="AA342" s="40">
        <v>303</v>
      </c>
      <c r="AB342" s="128">
        <v>60</v>
      </c>
      <c r="AC342" s="40">
        <v>4.37</v>
      </c>
      <c r="AD342" s="40">
        <v>103</v>
      </c>
      <c r="AE342" s="128">
        <v>20.6</v>
      </c>
      <c r="AF342" s="40">
        <v>2.56</v>
      </c>
      <c r="AG342" s="41">
        <v>66.599999999999994</v>
      </c>
      <c r="AH342" s="40">
        <v>31.3</v>
      </c>
      <c r="AI342" s="41">
        <v>1.82</v>
      </c>
      <c r="AJ342" s="40">
        <v>2310</v>
      </c>
      <c r="AK342" s="40">
        <v>23.8</v>
      </c>
      <c r="AL342" s="40">
        <v>36.6</v>
      </c>
      <c r="AM342" s="40">
        <v>14.1</v>
      </c>
      <c r="AN342" s="40">
        <v>32.9</v>
      </c>
      <c r="AO342" s="130" t="s">
        <v>115</v>
      </c>
      <c r="AP342" s="39" t="s">
        <v>69</v>
      </c>
      <c r="AQ342" s="40">
        <f t="shared" si="88"/>
        <v>108.50921706841314</v>
      </c>
      <c r="AR342" s="41">
        <f t="shared" si="98"/>
        <v>9.4849999999999994</v>
      </c>
      <c r="AS342" s="37">
        <f t="shared" si="89"/>
        <v>403.96859587884393</v>
      </c>
      <c r="AT342" s="42">
        <f t="shared" si="90"/>
        <v>3329.9999999999995</v>
      </c>
      <c r="AU342" s="31">
        <f t="shared" si="91"/>
        <v>2100</v>
      </c>
      <c r="AV342" s="31">
        <f t="shared" si="92"/>
        <v>4.163008820204614</v>
      </c>
      <c r="AW342" s="37">
        <f t="shared" si="93"/>
        <v>9618.4378236080083</v>
      </c>
      <c r="AX342" s="31">
        <f t="shared" si="94"/>
        <v>108.50921706841314</v>
      </c>
      <c r="AY342" s="42">
        <f t="shared" si="95"/>
        <v>3716.7818901341084</v>
      </c>
      <c r="AZ342" s="42">
        <f t="shared" si="99"/>
        <v>577106.26941648056</v>
      </c>
      <c r="BA342" s="42">
        <f t="shared" si="96"/>
        <v>3693.4098736747778</v>
      </c>
      <c r="BB342" s="42">
        <f t="shared" si="97"/>
        <v>1565</v>
      </c>
      <c r="BC342" s="38">
        <f t="shared" si="100"/>
        <v>8.98</v>
      </c>
      <c r="BD342" s="38">
        <f t="shared" si="101"/>
        <v>24.27027027027027</v>
      </c>
      <c r="BE342" s="38">
        <f t="shared" si="102"/>
        <v>3.7369999999999997</v>
      </c>
      <c r="BH342" s="34">
        <v>27.3</v>
      </c>
      <c r="BI342" s="43">
        <v>2.75</v>
      </c>
    </row>
    <row r="343" spans="14:61">
      <c r="N343" s="30" t="s">
        <v>560</v>
      </c>
      <c r="O343" s="40">
        <v>14.4</v>
      </c>
      <c r="P343" s="128">
        <v>9.98</v>
      </c>
      <c r="Q343" s="128">
        <v>0.34</v>
      </c>
      <c r="R343" s="128">
        <v>10</v>
      </c>
      <c r="S343" s="128">
        <v>0.56000000000000005</v>
      </c>
      <c r="T343" s="40">
        <v>1.06</v>
      </c>
      <c r="U343" s="132">
        <v>0.8125</v>
      </c>
      <c r="V343" s="40">
        <v>8.93</v>
      </c>
      <c r="W343" s="34">
        <v>53</v>
      </c>
      <c r="X343" s="35">
        <f t="shared" si="86"/>
        <v>26.058823529411761</v>
      </c>
      <c r="Y343" s="36">
        <f t="shared" si="87"/>
        <v>2.8384913188229</v>
      </c>
      <c r="Z343" s="34">
        <v>1.78</v>
      </c>
      <c r="AA343" s="40">
        <v>272</v>
      </c>
      <c r="AB343" s="128">
        <v>54.6</v>
      </c>
      <c r="AC343" s="40">
        <v>4.3499999999999996</v>
      </c>
      <c r="AD343" s="40">
        <v>93.4</v>
      </c>
      <c r="AE343" s="128">
        <v>18.7</v>
      </c>
      <c r="AF343" s="40">
        <v>2.54</v>
      </c>
      <c r="AG343" s="41">
        <v>60.4</v>
      </c>
      <c r="AH343" s="40">
        <v>28.3</v>
      </c>
      <c r="AI343" s="41">
        <v>1.39</v>
      </c>
      <c r="AJ343" s="40">
        <v>2070</v>
      </c>
      <c r="AK343" s="40">
        <v>23.6</v>
      </c>
      <c r="AL343" s="40">
        <v>33</v>
      </c>
      <c r="AM343" s="40">
        <v>12.7</v>
      </c>
      <c r="AN343" s="40">
        <v>29.7</v>
      </c>
      <c r="AO343" s="130" t="s">
        <v>115</v>
      </c>
      <c r="AP343" s="39" t="s">
        <v>69</v>
      </c>
      <c r="AQ343" s="40">
        <f t="shared" si="88"/>
        <v>107.66148881006615</v>
      </c>
      <c r="AR343" s="41">
        <f t="shared" si="98"/>
        <v>9.42</v>
      </c>
      <c r="AS343" s="37">
        <f t="shared" si="89"/>
        <v>379.40377743020764</v>
      </c>
      <c r="AT343" s="42">
        <f t="shared" si="90"/>
        <v>3020</v>
      </c>
      <c r="AU343" s="31">
        <f t="shared" si="91"/>
        <v>1911</v>
      </c>
      <c r="AV343" s="31">
        <f t="shared" si="92"/>
        <v>4.0810725692762162</v>
      </c>
      <c r="AW343" s="37">
        <f t="shared" si="93"/>
        <v>9513.7433889938766</v>
      </c>
      <c r="AX343" s="31">
        <f t="shared" si="94"/>
        <v>107.66148881006615</v>
      </c>
      <c r="AY343" s="42">
        <f t="shared" si="95"/>
        <v>3395.7096166694901</v>
      </c>
      <c r="AZ343" s="42">
        <f t="shared" si="99"/>
        <v>519450.38903906569</v>
      </c>
      <c r="BA343" s="42">
        <f t="shared" si="96"/>
        <v>3347.6597966709992</v>
      </c>
      <c r="BB343" s="42">
        <f t="shared" si="97"/>
        <v>1415</v>
      </c>
      <c r="BC343" s="38">
        <f t="shared" si="100"/>
        <v>8.92</v>
      </c>
      <c r="BD343" s="38">
        <f t="shared" si="101"/>
        <v>26.235294117647058</v>
      </c>
      <c r="BE343" s="38">
        <f t="shared" si="102"/>
        <v>3.3932000000000002</v>
      </c>
      <c r="BH343" s="34">
        <v>29.4</v>
      </c>
      <c r="BI343" s="43">
        <v>2.74</v>
      </c>
    </row>
    <row r="344" spans="14:61">
      <c r="N344" s="30" t="s">
        <v>561</v>
      </c>
      <c r="O344" s="40">
        <v>13.3</v>
      </c>
      <c r="P344" s="128">
        <v>10.1</v>
      </c>
      <c r="Q344" s="128">
        <v>0.35</v>
      </c>
      <c r="R344" s="128">
        <v>8.02</v>
      </c>
      <c r="S344" s="128">
        <v>0.62</v>
      </c>
      <c r="T344" s="40">
        <v>1.1200000000000001</v>
      </c>
      <c r="U344" s="132">
        <v>0.8125</v>
      </c>
      <c r="V344" s="40">
        <v>6.47</v>
      </c>
      <c r="W344" s="84" t="s">
        <v>127</v>
      </c>
      <c r="X344" s="35">
        <f t="shared" si="86"/>
        <v>25.314285714285713</v>
      </c>
      <c r="Y344" s="36">
        <f t="shared" si="87"/>
        <v>2.2704871759808025</v>
      </c>
      <c r="Z344" s="34">
        <v>2.0299999999999998</v>
      </c>
      <c r="AA344" s="40">
        <v>248</v>
      </c>
      <c r="AB344" s="128">
        <v>49.1</v>
      </c>
      <c r="AC344" s="40">
        <v>4.32</v>
      </c>
      <c r="AD344" s="40">
        <v>53.4</v>
      </c>
      <c r="AE344" s="128">
        <v>13.3</v>
      </c>
      <c r="AF344" s="40">
        <v>2.0099999999999998</v>
      </c>
      <c r="AG344" s="41">
        <v>54.9</v>
      </c>
      <c r="AH344" s="40">
        <v>20.3</v>
      </c>
      <c r="AI344" s="41">
        <v>1.51</v>
      </c>
      <c r="AJ344" s="40">
        <v>1200</v>
      </c>
      <c r="AK344" s="40">
        <v>19</v>
      </c>
      <c r="AL344" s="40">
        <v>23.6</v>
      </c>
      <c r="AM344" s="40">
        <v>11.3</v>
      </c>
      <c r="AN344" s="40">
        <v>27</v>
      </c>
      <c r="AO344" s="130" t="s">
        <v>115</v>
      </c>
      <c r="AP344" s="39" t="s">
        <v>69</v>
      </c>
      <c r="AQ344" s="40">
        <f t="shared" si="88"/>
        <v>85.19668996387125</v>
      </c>
      <c r="AR344" s="41">
        <f t="shared" si="98"/>
        <v>9.48</v>
      </c>
      <c r="AS344" s="37">
        <f t="shared" si="89"/>
        <v>323.10375421294657</v>
      </c>
      <c r="AT344" s="42">
        <f t="shared" si="90"/>
        <v>2745</v>
      </c>
      <c r="AU344" s="31">
        <f t="shared" si="91"/>
        <v>1718.5</v>
      </c>
      <c r="AV344" s="31">
        <f t="shared" si="92"/>
        <v>4.3147100454541869</v>
      </c>
      <c r="AW344" s="37">
        <f t="shared" si="93"/>
        <v>6104.0022237274616</v>
      </c>
      <c r="AX344" s="31">
        <f t="shared" si="94"/>
        <v>85.19668996387125</v>
      </c>
      <c r="AY344" s="42">
        <f t="shared" si="95"/>
        <v>3045.2895373174761</v>
      </c>
      <c r="AZ344" s="42">
        <f t="shared" si="99"/>
        <v>299706.50918501837</v>
      </c>
      <c r="BA344" s="42">
        <f t="shared" si="96"/>
        <v>3048.2847441684225</v>
      </c>
      <c r="BB344" s="42">
        <f t="shared" si="97"/>
        <v>1015</v>
      </c>
      <c r="BC344" s="38">
        <f t="shared" si="100"/>
        <v>8.98</v>
      </c>
      <c r="BD344" s="38">
        <f t="shared" si="101"/>
        <v>25.657142857142858</v>
      </c>
      <c r="BE344" s="38">
        <f t="shared" si="102"/>
        <v>3.5349999999999997</v>
      </c>
      <c r="BH344" s="34">
        <v>28.9</v>
      </c>
      <c r="BI344" s="43">
        <v>2.1800000000000002</v>
      </c>
    </row>
    <row r="345" spans="14:61">
      <c r="N345" s="30" t="s">
        <v>562</v>
      </c>
      <c r="O345" s="40">
        <v>11.5</v>
      </c>
      <c r="P345" s="128">
        <v>9.92</v>
      </c>
      <c r="Q345" s="128">
        <v>0.315</v>
      </c>
      <c r="R345" s="128">
        <v>7.99</v>
      </c>
      <c r="S345" s="128">
        <v>0.53</v>
      </c>
      <c r="T345" s="40">
        <v>1.03</v>
      </c>
      <c r="U345" s="132">
        <v>0.8125</v>
      </c>
      <c r="V345" s="40">
        <v>7.53</v>
      </c>
      <c r="W345" s="84" t="s">
        <v>127</v>
      </c>
      <c r="X345" s="35">
        <f t="shared" si="86"/>
        <v>28.126984126984127</v>
      </c>
      <c r="Y345" s="36">
        <f t="shared" si="87"/>
        <v>2.2401804728791124</v>
      </c>
      <c r="Z345" s="34">
        <v>2.34</v>
      </c>
      <c r="AA345" s="40">
        <v>209</v>
      </c>
      <c r="AB345" s="128">
        <v>42.1</v>
      </c>
      <c r="AC345" s="40">
        <v>4.2699999999999996</v>
      </c>
      <c r="AD345" s="40">
        <v>45</v>
      </c>
      <c r="AE345" s="128">
        <v>11.3</v>
      </c>
      <c r="AF345" s="40">
        <v>1.98</v>
      </c>
      <c r="AG345" s="41">
        <v>46.8</v>
      </c>
      <c r="AH345" s="40">
        <v>17.2</v>
      </c>
      <c r="AI345" s="41">
        <v>0.97599999999999998</v>
      </c>
      <c r="AJ345" s="40">
        <v>992</v>
      </c>
      <c r="AK345" s="40">
        <v>18.7</v>
      </c>
      <c r="AL345" s="40">
        <v>19.8</v>
      </c>
      <c r="AM345" s="40">
        <v>9.5399999999999991</v>
      </c>
      <c r="AN345" s="40">
        <v>23</v>
      </c>
      <c r="AO345" s="130" t="s">
        <v>115</v>
      </c>
      <c r="AP345" s="39" t="s">
        <v>69</v>
      </c>
      <c r="AQ345" s="40">
        <f t="shared" si="88"/>
        <v>83.92509757635078</v>
      </c>
      <c r="AR345" s="41">
        <f t="shared" si="98"/>
        <v>9.39</v>
      </c>
      <c r="AS345" s="37">
        <f t="shared" si="89"/>
        <v>290.95040929773387</v>
      </c>
      <c r="AT345" s="42">
        <f t="shared" si="90"/>
        <v>2340</v>
      </c>
      <c r="AU345" s="31">
        <f t="shared" si="91"/>
        <v>1473.5</v>
      </c>
      <c r="AV345" s="31">
        <f t="shared" si="92"/>
        <v>4.1854785426728158</v>
      </c>
      <c r="AW345" s="37">
        <f t="shared" si="93"/>
        <v>5934.4780781461523</v>
      </c>
      <c r="AX345" s="31">
        <f t="shared" si="94"/>
        <v>83.92509757635078</v>
      </c>
      <c r="AY345" s="42">
        <f t="shared" si="95"/>
        <v>2625.9732298318427</v>
      </c>
      <c r="AZ345" s="42">
        <f t="shared" si="99"/>
        <v>249841.52708995302</v>
      </c>
      <c r="BA345" s="42">
        <f t="shared" si="96"/>
        <v>2596.0119150725168</v>
      </c>
      <c r="BB345" s="42">
        <f t="shared" si="97"/>
        <v>860</v>
      </c>
      <c r="BC345" s="38">
        <f t="shared" si="100"/>
        <v>8.89</v>
      </c>
      <c r="BD345" s="38">
        <f t="shared" si="101"/>
        <v>28.222222222222225</v>
      </c>
      <c r="BE345" s="38">
        <f t="shared" si="102"/>
        <v>3.1248</v>
      </c>
      <c r="BH345" s="34">
        <v>31.5</v>
      </c>
      <c r="BI345" s="43">
        <v>2.16</v>
      </c>
    </row>
    <row r="346" spans="14:61">
      <c r="N346" s="30" t="s">
        <v>563</v>
      </c>
      <c r="O346" s="40">
        <v>9.7100000000000009</v>
      </c>
      <c r="P346" s="128">
        <v>9.73</v>
      </c>
      <c r="Q346" s="128">
        <v>0.28999999999999998</v>
      </c>
      <c r="R346" s="128">
        <v>7.96</v>
      </c>
      <c r="S346" s="128">
        <v>0.435</v>
      </c>
      <c r="T346" s="40">
        <v>0.93500000000000005</v>
      </c>
      <c r="U346" s="132">
        <v>0.75</v>
      </c>
      <c r="V346" s="40">
        <v>9.15</v>
      </c>
      <c r="W346" s="34">
        <v>50.5</v>
      </c>
      <c r="X346" s="35">
        <f t="shared" si="86"/>
        <v>30.551724137931039</v>
      </c>
      <c r="Y346" s="36">
        <f t="shared" si="87"/>
        <v>2.204531048286039</v>
      </c>
      <c r="Z346" s="34">
        <v>2.81</v>
      </c>
      <c r="AA346" s="40">
        <v>171</v>
      </c>
      <c r="AB346" s="128">
        <v>35</v>
      </c>
      <c r="AC346" s="40">
        <v>4.1900000000000004</v>
      </c>
      <c r="AD346" s="40">
        <v>36.6</v>
      </c>
      <c r="AE346" s="128">
        <v>9.1999999999999993</v>
      </c>
      <c r="AF346" s="40">
        <v>1.94</v>
      </c>
      <c r="AG346" s="41">
        <v>38.799999999999997</v>
      </c>
      <c r="AH346" s="40">
        <v>14</v>
      </c>
      <c r="AI346" s="41">
        <v>0.58299999999999996</v>
      </c>
      <c r="AJ346" s="40">
        <v>791</v>
      </c>
      <c r="AK346" s="40">
        <v>18.5</v>
      </c>
      <c r="AL346" s="40">
        <v>16</v>
      </c>
      <c r="AM346" s="40">
        <v>7.75</v>
      </c>
      <c r="AN346" s="40">
        <v>18.899999999999999</v>
      </c>
      <c r="AO346" s="130" t="s">
        <v>115</v>
      </c>
      <c r="AP346" s="39" t="s">
        <v>69</v>
      </c>
      <c r="AQ346" s="40">
        <f t="shared" si="88"/>
        <v>82.229641059656828</v>
      </c>
      <c r="AR346" s="41">
        <f t="shared" si="98"/>
        <v>9.2949999999999999</v>
      </c>
      <c r="AS346" s="37">
        <f t="shared" si="89"/>
        <v>261.88143461423005</v>
      </c>
      <c r="AT346" s="42">
        <f t="shared" si="90"/>
        <v>1939.9999999999998</v>
      </c>
      <c r="AU346" s="31">
        <f t="shared" si="91"/>
        <v>1225</v>
      </c>
      <c r="AV346" s="31">
        <f t="shared" si="92"/>
        <v>3.9799213013857426</v>
      </c>
      <c r="AW346" s="37">
        <f t="shared" si="93"/>
        <v>5740.4393657939963</v>
      </c>
      <c r="AX346" s="31">
        <f t="shared" si="94"/>
        <v>82.229641059656828</v>
      </c>
      <c r="AY346" s="42">
        <f t="shared" si="95"/>
        <v>2205.1807277570142</v>
      </c>
      <c r="AZ346" s="42">
        <f t="shared" si="99"/>
        <v>200915.37780278988</v>
      </c>
      <c r="BA346" s="42">
        <f t="shared" si="96"/>
        <v>2151.2504550223302</v>
      </c>
      <c r="BB346" s="42">
        <f t="shared" si="97"/>
        <v>700</v>
      </c>
      <c r="BC346" s="38">
        <f t="shared" si="100"/>
        <v>8.7949999999999999</v>
      </c>
      <c r="BD346" s="38">
        <f t="shared" si="101"/>
        <v>30.327586206896555</v>
      </c>
      <c r="BE346" s="38">
        <f t="shared" si="102"/>
        <v>2.8216999999999999</v>
      </c>
      <c r="BH346" s="34">
        <v>33.6</v>
      </c>
      <c r="BI346" s="43">
        <v>2.14</v>
      </c>
    </row>
    <row r="347" spans="14:61">
      <c r="N347" s="30" t="s">
        <v>564</v>
      </c>
      <c r="O347" s="40">
        <v>8.84</v>
      </c>
      <c r="P347" s="128">
        <v>10.5</v>
      </c>
      <c r="Q347" s="128">
        <v>0.3</v>
      </c>
      <c r="R347" s="128">
        <v>5.81</v>
      </c>
      <c r="S347" s="128">
        <v>0.51</v>
      </c>
      <c r="T347" s="40">
        <v>0.81</v>
      </c>
      <c r="U347" s="132">
        <v>0.6875</v>
      </c>
      <c r="V347" s="40">
        <v>5.7</v>
      </c>
      <c r="W347" s="84" t="s">
        <v>127</v>
      </c>
      <c r="X347" s="35">
        <f t="shared" si="86"/>
        <v>31.6</v>
      </c>
      <c r="Y347" s="36">
        <f t="shared" si="87"/>
        <v>1.6045508198038894</v>
      </c>
      <c r="Z347" s="34">
        <v>3.53</v>
      </c>
      <c r="AA347" s="40">
        <v>170</v>
      </c>
      <c r="AB347" s="128">
        <v>32.4</v>
      </c>
      <c r="AC347" s="40">
        <v>4.38</v>
      </c>
      <c r="AD347" s="40">
        <v>16.7</v>
      </c>
      <c r="AE347" s="128">
        <v>5.75</v>
      </c>
      <c r="AF347" s="40">
        <v>1.37</v>
      </c>
      <c r="AG347" s="41">
        <v>36.6</v>
      </c>
      <c r="AH347" s="40">
        <v>8.84</v>
      </c>
      <c r="AI347" s="41">
        <v>0.622</v>
      </c>
      <c r="AJ347" s="40">
        <v>414</v>
      </c>
      <c r="AK347" s="40">
        <v>14.5</v>
      </c>
      <c r="AL347" s="40">
        <v>10.7</v>
      </c>
      <c r="AM347" s="40">
        <v>7</v>
      </c>
      <c r="AN347" s="40">
        <v>18.100000000000001</v>
      </c>
      <c r="AO347" s="130" t="s">
        <v>565</v>
      </c>
      <c r="AP347" s="39" t="s">
        <v>181</v>
      </c>
      <c r="AQ347" s="40">
        <f t="shared" si="88"/>
        <v>58.069385696767966</v>
      </c>
      <c r="AR347" s="41">
        <f t="shared" si="98"/>
        <v>9.99</v>
      </c>
      <c r="AS347" s="37">
        <f t="shared" si="89"/>
        <v>194.02666619411451</v>
      </c>
      <c r="AT347" s="42">
        <f t="shared" si="90"/>
        <v>1830</v>
      </c>
      <c r="AU347" s="31">
        <f t="shared" si="91"/>
        <v>1134</v>
      </c>
      <c r="AV347" s="31">
        <f t="shared" si="92"/>
        <v>5.1192550884657013</v>
      </c>
      <c r="AW347" s="37">
        <f t="shared" si="93"/>
        <v>3051.8279424409957</v>
      </c>
      <c r="AX347" s="31">
        <f t="shared" si="94"/>
        <v>58.069385696767966</v>
      </c>
      <c r="AY347" s="42">
        <f t="shared" si="95"/>
        <v>2047.4116188321918</v>
      </c>
      <c r="AZ347" s="42">
        <f t="shared" si="99"/>
        <v>98879.225335088253</v>
      </c>
      <c r="BA347" s="42">
        <f t="shared" si="96"/>
        <v>2035.6368065671918</v>
      </c>
      <c r="BB347" s="42">
        <f t="shared" si="97"/>
        <v>442</v>
      </c>
      <c r="BC347" s="38">
        <f t="shared" si="100"/>
        <v>9.69</v>
      </c>
      <c r="BD347" s="38">
        <f t="shared" si="101"/>
        <v>32.299999999999997</v>
      </c>
      <c r="BE347" s="38">
        <f t="shared" si="102"/>
        <v>3.15</v>
      </c>
      <c r="BH347" s="34">
        <v>34.9</v>
      </c>
      <c r="BI347" s="43">
        <v>1.55</v>
      </c>
    </row>
    <row r="348" spans="14:61">
      <c r="N348" s="30" t="s">
        <v>566</v>
      </c>
      <c r="O348" s="40">
        <v>7.61</v>
      </c>
      <c r="P348" s="128">
        <v>10.3</v>
      </c>
      <c r="Q348" s="128">
        <v>0.26</v>
      </c>
      <c r="R348" s="128">
        <v>5.77</v>
      </c>
      <c r="S348" s="128">
        <v>0.44</v>
      </c>
      <c r="T348" s="40">
        <v>0.74</v>
      </c>
      <c r="U348" s="132">
        <v>0.6875</v>
      </c>
      <c r="V348" s="40">
        <v>6.56</v>
      </c>
      <c r="W348" s="84" t="s">
        <v>127</v>
      </c>
      <c r="X348" s="35">
        <f t="shared" si="86"/>
        <v>36.230769230769226</v>
      </c>
      <c r="Y348" s="36">
        <f t="shared" si="87"/>
        <v>1.5784503084811021</v>
      </c>
      <c r="Z348" s="34">
        <v>4.07</v>
      </c>
      <c r="AA348" s="40">
        <v>144</v>
      </c>
      <c r="AB348" s="128">
        <v>27.9</v>
      </c>
      <c r="AC348" s="40">
        <v>4.3499999999999996</v>
      </c>
      <c r="AD348" s="40">
        <v>14.1</v>
      </c>
      <c r="AE348" s="128">
        <v>4.8899999999999997</v>
      </c>
      <c r="AF348" s="40">
        <v>1.36</v>
      </c>
      <c r="AG348" s="41">
        <v>31.3</v>
      </c>
      <c r="AH348" s="40">
        <v>7.5</v>
      </c>
      <c r="AI348" s="41">
        <v>0.40200000000000002</v>
      </c>
      <c r="AJ348" s="40">
        <v>345</v>
      </c>
      <c r="AK348" s="40">
        <v>14.3</v>
      </c>
      <c r="AL348" s="40">
        <v>9.0500000000000007</v>
      </c>
      <c r="AM348" s="40">
        <v>5.99</v>
      </c>
      <c r="AN348" s="40">
        <v>15.5</v>
      </c>
      <c r="AO348" s="130" t="s">
        <v>565</v>
      </c>
      <c r="AP348" s="39" t="s">
        <v>181</v>
      </c>
      <c r="AQ348" s="40">
        <f t="shared" si="88"/>
        <v>57.645521567594486</v>
      </c>
      <c r="AR348" s="41">
        <f t="shared" si="98"/>
        <v>9.8600000000000012</v>
      </c>
      <c r="AS348" s="37">
        <f t="shared" si="89"/>
        <v>178.93813906155103</v>
      </c>
      <c r="AT348" s="42">
        <f t="shared" si="90"/>
        <v>1565</v>
      </c>
      <c r="AU348" s="31">
        <f t="shared" si="91"/>
        <v>976.5</v>
      </c>
      <c r="AV348" s="31">
        <f t="shared" si="92"/>
        <v>4.8519028788320302</v>
      </c>
      <c r="AW348" s="37">
        <f t="shared" si="93"/>
        <v>2948.9277663159683</v>
      </c>
      <c r="AX348" s="31">
        <f t="shared" si="94"/>
        <v>57.645521567594486</v>
      </c>
      <c r="AY348" s="42">
        <f t="shared" si="95"/>
        <v>1769.0007871358059</v>
      </c>
      <c r="AZ348" s="42">
        <f t="shared" si="99"/>
        <v>82275.084680215514</v>
      </c>
      <c r="BA348" s="42">
        <f t="shared" si="96"/>
        <v>1738.8753745183797</v>
      </c>
      <c r="BB348" s="42">
        <f t="shared" si="97"/>
        <v>375</v>
      </c>
      <c r="BC348" s="38">
        <f t="shared" si="100"/>
        <v>9.56</v>
      </c>
      <c r="BD348" s="38">
        <f t="shared" si="101"/>
        <v>36.769230769230766</v>
      </c>
      <c r="BE348" s="38">
        <f t="shared" si="102"/>
        <v>2.6780000000000004</v>
      </c>
      <c r="BH348" s="34">
        <v>39.700000000000003</v>
      </c>
      <c r="BI348" s="43">
        <v>1.54</v>
      </c>
    </row>
    <row r="349" spans="14:61">
      <c r="N349" s="30" t="s">
        <v>567</v>
      </c>
      <c r="O349" s="40">
        <v>6.49</v>
      </c>
      <c r="P349" s="128">
        <v>10.199999999999999</v>
      </c>
      <c r="Q349" s="128">
        <v>0.24</v>
      </c>
      <c r="R349" s="128">
        <v>5.75</v>
      </c>
      <c r="S349" s="128">
        <v>0.36</v>
      </c>
      <c r="T349" s="40">
        <v>0.66</v>
      </c>
      <c r="U349" s="132">
        <v>0.625</v>
      </c>
      <c r="V349" s="40">
        <v>7.99</v>
      </c>
      <c r="W349" s="84" t="s">
        <v>127</v>
      </c>
      <c r="X349" s="35">
        <f t="shared" si="86"/>
        <v>39.499999999999993</v>
      </c>
      <c r="Y349" s="36">
        <f t="shared" si="87"/>
        <v>1.5548589025685102</v>
      </c>
      <c r="Z349" s="34">
        <v>4.91</v>
      </c>
      <c r="AA349" s="40">
        <v>118</v>
      </c>
      <c r="AB349" s="128">
        <v>23.2</v>
      </c>
      <c r="AC349" s="40">
        <v>4.2699999999999996</v>
      </c>
      <c r="AD349" s="40">
        <v>11.4</v>
      </c>
      <c r="AE349" s="128">
        <v>3.97</v>
      </c>
      <c r="AF349" s="40">
        <v>1.33</v>
      </c>
      <c r="AG349" s="41">
        <v>26</v>
      </c>
      <c r="AH349" s="40">
        <v>6.1</v>
      </c>
      <c r="AI349" s="41">
        <v>0.23899999999999999</v>
      </c>
      <c r="AJ349" s="40">
        <v>274</v>
      </c>
      <c r="AK349" s="40">
        <v>14.1</v>
      </c>
      <c r="AL349" s="40">
        <v>7.3</v>
      </c>
      <c r="AM349" s="40">
        <v>4.8600000000000003</v>
      </c>
      <c r="AN349" s="40">
        <v>12.8</v>
      </c>
      <c r="AO349" s="130" t="s">
        <v>565</v>
      </c>
      <c r="AP349" s="39" t="s">
        <v>181</v>
      </c>
      <c r="AQ349" s="40">
        <f t="shared" si="88"/>
        <v>56.373929180074015</v>
      </c>
      <c r="AR349" s="41">
        <f t="shared" si="98"/>
        <v>9.84</v>
      </c>
      <c r="AS349" s="37">
        <f t="shared" si="89"/>
        <v>165.78462700024136</v>
      </c>
      <c r="AT349" s="42">
        <f t="shared" si="90"/>
        <v>1300</v>
      </c>
      <c r="AU349" s="31">
        <f t="shared" si="91"/>
        <v>812</v>
      </c>
      <c r="AV349" s="31">
        <f t="shared" si="92"/>
        <v>4.4602585462173012</v>
      </c>
      <c r="AW349" s="37">
        <f t="shared" si="93"/>
        <v>2857.3123997367675</v>
      </c>
      <c r="AX349" s="31">
        <f t="shared" si="94"/>
        <v>56.373929180074015</v>
      </c>
      <c r="AY349" s="42">
        <f t="shared" si="95"/>
        <v>1481.8622660882841</v>
      </c>
      <c r="AZ349" s="42">
        <f t="shared" si="99"/>
        <v>66289.647673893007</v>
      </c>
      <c r="BA349" s="42">
        <f t="shared" si="96"/>
        <v>1444.1821287425137</v>
      </c>
      <c r="BB349" s="42">
        <f t="shared" si="97"/>
        <v>305</v>
      </c>
      <c r="BC349" s="38">
        <f t="shared" si="100"/>
        <v>9.5399999999999991</v>
      </c>
      <c r="BD349" s="38">
        <f t="shared" si="101"/>
        <v>39.75</v>
      </c>
      <c r="BE349" s="38">
        <f t="shared" si="102"/>
        <v>2.448</v>
      </c>
      <c r="BH349" s="34">
        <v>42.4</v>
      </c>
      <c r="BI349" s="43">
        <v>1.51</v>
      </c>
    </row>
    <row r="350" spans="14:61">
      <c r="N350" s="30" t="s">
        <v>568</v>
      </c>
      <c r="O350" s="40">
        <v>5.62</v>
      </c>
      <c r="P350" s="128">
        <v>10.199999999999999</v>
      </c>
      <c r="Q350" s="128">
        <v>0.25</v>
      </c>
      <c r="R350" s="128">
        <v>4.0199999999999996</v>
      </c>
      <c r="S350" s="128">
        <v>0.39500000000000002</v>
      </c>
      <c r="T350" s="40">
        <v>0.69499999999999995</v>
      </c>
      <c r="U350" s="132">
        <v>0.625</v>
      </c>
      <c r="V350" s="40">
        <v>5.09</v>
      </c>
      <c r="W350" s="84" t="s">
        <v>127</v>
      </c>
      <c r="X350" s="35">
        <f t="shared" si="86"/>
        <v>37.64</v>
      </c>
      <c r="Y350" s="36">
        <f t="shared" si="87"/>
        <v>1.0576903027804239</v>
      </c>
      <c r="Z350" s="34">
        <v>6.45</v>
      </c>
      <c r="AA350" s="40">
        <v>96.3</v>
      </c>
      <c r="AB350" s="128">
        <v>18.8</v>
      </c>
      <c r="AC350" s="40">
        <v>4.1399999999999997</v>
      </c>
      <c r="AD350" s="40">
        <v>4.29</v>
      </c>
      <c r="AE350" s="128">
        <v>2.14</v>
      </c>
      <c r="AF350" s="40">
        <v>0.874</v>
      </c>
      <c r="AG350" s="41">
        <v>21.6</v>
      </c>
      <c r="AH350" s="40">
        <v>3.35</v>
      </c>
      <c r="AI350" s="41">
        <v>0.23300000000000001</v>
      </c>
      <c r="AJ350" s="40">
        <v>104</v>
      </c>
      <c r="AK350" s="40">
        <v>9.89</v>
      </c>
      <c r="AL350" s="40">
        <v>3.93</v>
      </c>
      <c r="AM350" s="40">
        <v>3.67</v>
      </c>
      <c r="AN350" s="40">
        <v>10.6</v>
      </c>
      <c r="AO350" s="130" t="s">
        <v>569</v>
      </c>
      <c r="AP350" s="39" t="s">
        <v>129</v>
      </c>
      <c r="AQ350" s="40">
        <f t="shared" si="88"/>
        <v>37.045724889762923</v>
      </c>
      <c r="AR350" s="41">
        <f t="shared" si="98"/>
        <v>9.8049999999999997</v>
      </c>
      <c r="AS350" s="37">
        <f t="shared" si="89"/>
        <v>116.49503652730314</v>
      </c>
      <c r="AT350" s="42">
        <f t="shared" si="90"/>
        <v>1080</v>
      </c>
      <c r="AU350" s="31">
        <f t="shared" si="91"/>
        <v>658</v>
      </c>
      <c r="AV350" s="31">
        <f t="shared" si="92"/>
        <v>5.3115626970467389</v>
      </c>
      <c r="AW350" s="37">
        <f t="shared" si="93"/>
        <v>1330.8317665828195</v>
      </c>
      <c r="AX350" s="31">
        <f t="shared" si="94"/>
        <v>37.045724889762923</v>
      </c>
      <c r="AY350" s="42">
        <f t="shared" si="95"/>
        <v>1193.9103123355915</v>
      </c>
      <c r="AZ350" s="42">
        <f t="shared" si="99"/>
        <v>25019.637211757006</v>
      </c>
      <c r="BA350" s="42">
        <f t="shared" si="96"/>
        <v>1204.6820867404524</v>
      </c>
      <c r="BB350" s="42">
        <f t="shared" si="97"/>
        <v>167.5</v>
      </c>
      <c r="BC350" s="38">
        <f t="shared" si="100"/>
        <v>9.504999999999999</v>
      </c>
      <c r="BD350" s="38">
        <f t="shared" si="101"/>
        <v>38.019999999999996</v>
      </c>
      <c r="BE350" s="38">
        <f t="shared" si="102"/>
        <v>2.5499999999999998</v>
      </c>
      <c r="BH350" s="34">
        <v>41</v>
      </c>
      <c r="BI350" s="43">
        <v>1.03</v>
      </c>
    </row>
    <row r="351" spans="14:61">
      <c r="N351" s="30" t="s">
        <v>570</v>
      </c>
      <c r="O351" s="40">
        <v>4.99</v>
      </c>
      <c r="P351" s="128">
        <v>10.1</v>
      </c>
      <c r="Q351" s="128">
        <v>0.24</v>
      </c>
      <c r="R351" s="128">
        <v>4.01</v>
      </c>
      <c r="S351" s="128">
        <v>0.33</v>
      </c>
      <c r="T351" s="40">
        <v>0.63</v>
      </c>
      <c r="U351" s="132">
        <v>0.5625</v>
      </c>
      <c r="V351" s="40">
        <v>6.08</v>
      </c>
      <c r="W351" s="84" t="s">
        <v>127</v>
      </c>
      <c r="X351" s="35">
        <f t="shared" si="86"/>
        <v>39.333333333333336</v>
      </c>
      <c r="Y351" s="36">
        <f t="shared" si="87"/>
        <v>1.0360954720297226</v>
      </c>
      <c r="Z351" s="34">
        <v>7.64</v>
      </c>
      <c r="AA351" s="40">
        <v>81.900000000000006</v>
      </c>
      <c r="AB351" s="128">
        <v>16.2</v>
      </c>
      <c r="AC351" s="40">
        <v>4.05</v>
      </c>
      <c r="AD351" s="40">
        <v>3.56</v>
      </c>
      <c r="AE351" s="128">
        <v>1.78</v>
      </c>
      <c r="AF351" s="40">
        <v>0.84499999999999997</v>
      </c>
      <c r="AG351" s="41">
        <v>18.7</v>
      </c>
      <c r="AH351" s="40">
        <v>2.8</v>
      </c>
      <c r="AI351" s="41">
        <v>0.156</v>
      </c>
      <c r="AJ351" s="40">
        <v>85.1</v>
      </c>
      <c r="AK351" s="40">
        <v>9.8000000000000007</v>
      </c>
      <c r="AL351" s="40">
        <v>3.24</v>
      </c>
      <c r="AM351" s="40">
        <v>3.04</v>
      </c>
      <c r="AN351" s="40">
        <v>9.15</v>
      </c>
      <c r="AO351" s="130" t="s">
        <v>569</v>
      </c>
      <c r="AP351" s="39" t="s">
        <v>129</v>
      </c>
      <c r="AQ351" s="40">
        <f t="shared" si="88"/>
        <v>35.816518915159804</v>
      </c>
      <c r="AR351" s="41">
        <f t="shared" si="98"/>
        <v>9.77</v>
      </c>
      <c r="AS351" s="37">
        <f t="shared" si="89"/>
        <v>109.45058066447366</v>
      </c>
      <c r="AT351" s="42">
        <f t="shared" si="90"/>
        <v>935</v>
      </c>
      <c r="AU351" s="31">
        <f t="shared" si="91"/>
        <v>567</v>
      </c>
      <c r="AV351" s="31">
        <f t="shared" si="92"/>
        <v>4.9976870928681203</v>
      </c>
      <c r="AW351" s="37">
        <f t="shared" si="93"/>
        <v>1274.5285766598658</v>
      </c>
      <c r="AX351" s="31">
        <f t="shared" si="94"/>
        <v>35.816518915159804</v>
      </c>
      <c r="AY351" s="42">
        <f t="shared" si="95"/>
        <v>1036.0358356450183</v>
      </c>
      <c r="AZ351" s="42">
        <f t="shared" si="99"/>
        <v>20647.362941889827</v>
      </c>
      <c r="BA351" s="42">
        <f t="shared" si="96"/>
        <v>1043.7275069205841</v>
      </c>
      <c r="BB351" s="42">
        <f t="shared" si="97"/>
        <v>140</v>
      </c>
      <c r="BC351" s="38">
        <f t="shared" si="100"/>
        <v>9.4699999999999989</v>
      </c>
      <c r="BD351" s="38">
        <f t="shared" si="101"/>
        <v>39.458333333333329</v>
      </c>
      <c r="BE351" s="38">
        <f t="shared" si="102"/>
        <v>2.4239999999999999</v>
      </c>
      <c r="BH351" s="34">
        <v>42.1</v>
      </c>
      <c r="BI351" s="43">
        <v>1.01</v>
      </c>
    </row>
    <row r="352" spans="14:61">
      <c r="N352" s="30" t="s">
        <v>571</v>
      </c>
      <c r="O352" s="40">
        <v>4.41</v>
      </c>
      <c r="P352" s="128">
        <v>9.99</v>
      </c>
      <c r="Q352" s="128">
        <v>0.23</v>
      </c>
      <c r="R352" s="128">
        <v>4</v>
      </c>
      <c r="S352" s="128">
        <v>0.27</v>
      </c>
      <c r="T352" s="40">
        <v>0.56999999999999995</v>
      </c>
      <c r="U352" s="132">
        <v>0.5625</v>
      </c>
      <c r="V352" s="40">
        <v>7.41</v>
      </c>
      <c r="W352" s="84" t="s">
        <v>127</v>
      </c>
      <c r="X352" s="35">
        <f t="shared" si="86"/>
        <v>41.086956521739125</v>
      </c>
      <c r="Y352" s="36">
        <f t="shared" si="87"/>
        <v>1.0088521242955542</v>
      </c>
      <c r="Z352" s="34">
        <v>9.25</v>
      </c>
      <c r="AA352" s="40">
        <v>68.900000000000006</v>
      </c>
      <c r="AB352" s="128">
        <v>13.8</v>
      </c>
      <c r="AC352" s="40">
        <v>3.95</v>
      </c>
      <c r="AD352" s="40">
        <v>2.89</v>
      </c>
      <c r="AE352" s="128">
        <v>1.45</v>
      </c>
      <c r="AF352" s="40">
        <v>0.81</v>
      </c>
      <c r="AG352" s="41">
        <v>16</v>
      </c>
      <c r="AH352" s="40">
        <v>2.2999999999999998</v>
      </c>
      <c r="AI352" s="41">
        <v>0.104</v>
      </c>
      <c r="AJ352" s="40">
        <v>68.3</v>
      </c>
      <c r="AK352" s="40">
        <v>9.7200000000000006</v>
      </c>
      <c r="AL352" s="40">
        <v>2.62</v>
      </c>
      <c r="AM352" s="40">
        <v>2.4700000000000002</v>
      </c>
      <c r="AN352" s="40">
        <v>7.82</v>
      </c>
      <c r="AO352" s="130" t="s">
        <v>569</v>
      </c>
      <c r="AP352" s="39" t="s">
        <v>129</v>
      </c>
      <c r="AQ352" s="40">
        <f t="shared" si="88"/>
        <v>34.3329944630526</v>
      </c>
      <c r="AR352" s="41">
        <f t="shared" si="98"/>
        <v>9.7200000000000006</v>
      </c>
      <c r="AS352" s="37">
        <f t="shared" si="89"/>
        <v>103.18959907691833</v>
      </c>
      <c r="AT352" s="42">
        <f t="shared" si="90"/>
        <v>800</v>
      </c>
      <c r="AU352" s="31">
        <f t="shared" si="91"/>
        <v>483</v>
      </c>
      <c r="AV352" s="31">
        <f t="shared" si="92"/>
        <v>4.6037704266376993</v>
      </c>
      <c r="AW352" s="37">
        <f t="shared" si="93"/>
        <v>1206.6203140148659</v>
      </c>
      <c r="AX352" s="31">
        <f t="shared" si="94"/>
        <v>34.3329944630526</v>
      </c>
      <c r="AY352" s="42">
        <f t="shared" si="95"/>
        <v>886.24240591136936</v>
      </c>
      <c r="AZ352" s="42">
        <f t="shared" si="99"/>
        <v>16651.360333405151</v>
      </c>
      <c r="BA352" s="42">
        <f t="shared" si="96"/>
        <v>893.65929264626402</v>
      </c>
      <c r="BB352" s="42">
        <f t="shared" si="97"/>
        <v>114.99999999999999</v>
      </c>
      <c r="BC352" s="38">
        <f t="shared" si="100"/>
        <v>9.42</v>
      </c>
      <c r="BD352" s="38">
        <f t="shared" si="101"/>
        <v>40.95652173913043</v>
      </c>
      <c r="BE352" s="38">
        <f t="shared" si="102"/>
        <v>2.2977000000000003</v>
      </c>
      <c r="BH352" s="34">
        <v>43.4</v>
      </c>
      <c r="BI352" s="43">
        <v>0.99</v>
      </c>
    </row>
    <row r="353" spans="14:61">
      <c r="N353" s="30" t="s">
        <v>572</v>
      </c>
      <c r="O353" s="40">
        <v>3.54</v>
      </c>
      <c r="P353" s="128">
        <v>9.8699999999999992</v>
      </c>
      <c r="Q353" s="128">
        <v>0.19</v>
      </c>
      <c r="R353" s="128">
        <v>3.96</v>
      </c>
      <c r="S353" s="128">
        <v>0.21</v>
      </c>
      <c r="T353" s="40">
        <v>0.51</v>
      </c>
      <c r="U353" s="132">
        <v>0.5625</v>
      </c>
      <c r="V353" s="40">
        <v>9.43</v>
      </c>
      <c r="W353" s="34">
        <v>47.5</v>
      </c>
      <c r="X353" s="35">
        <f t="shared" si="86"/>
        <v>49.73684210526315</v>
      </c>
      <c r="Y353" s="36">
        <f t="shared" si="87"/>
        <v>0.98285299002444915</v>
      </c>
      <c r="Z353" s="34">
        <v>11.9</v>
      </c>
      <c r="AA353" s="40">
        <v>53.8</v>
      </c>
      <c r="AB353" s="128">
        <v>10.9</v>
      </c>
      <c r="AC353" s="40">
        <v>3.9</v>
      </c>
      <c r="AD353" s="40">
        <v>2.1800000000000002</v>
      </c>
      <c r="AE353" s="128">
        <v>1.1000000000000001</v>
      </c>
      <c r="AF353" s="40">
        <v>0.78500000000000003</v>
      </c>
      <c r="AG353" s="41">
        <v>12.6</v>
      </c>
      <c r="AH353" s="40">
        <v>1.74</v>
      </c>
      <c r="AI353" s="41">
        <v>5.4699999999999999E-2</v>
      </c>
      <c r="AJ353" s="40">
        <v>50.9</v>
      </c>
      <c r="AK353" s="40">
        <v>9.56</v>
      </c>
      <c r="AL353" s="40">
        <v>1.99</v>
      </c>
      <c r="AM353" s="40">
        <v>1.91</v>
      </c>
      <c r="AN353" s="40">
        <v>6.14</v>
      </c>
      <c r="AO353" s="130" t="s">
        <v>569</v>
      </c>
      <c r="AP353" s="39" t="s">
        <v>129</v>
      </c>
      <c r="AQ353" s="40">
        <f t="shared" si="88"/>
        <v>33.273334140118877</v>
      </c>
      <c r="AR353" s="41">
        <f t="shared" si="98"/>
        <v>9.6599999999999984</v>
      </c>
      <c r="AS353" s="37">
        <f t="shared" si="89"/>
        <v>96.596690101594888</v>
      </c>
      <c r="AT353" s="42">
        <f t="shared" si="90"/>
        <v>630</v>
      </c>
      <c r="AU353" s="31">
        <f t="shared" si="91"/>
        <v>381.5</v>
      </c>
      <c r="AV353" s="31">
        <f t="shared" si="92"/>
        <v>3.924302435126461</v>
      </c>
      <c r="AW353" s="37">
        <f t="shared" si="93"/>
        <v>1142.8274414214152</v>
      </c>
      <c r="AX353" s="31">
        <f t="shared" si="94"/>
        <v>33.273334140118877</v>
      </c>
      <c r="AY353" s="42">
        <f t="shared" si="95"/>
        <v>699.3555082028721</v>
      </c>
      <c r="AZ353" s="42">
        <f t="shared" si="99"/>
        <v>12456.819111493425</v>
      </c>
      <c r="BA353" s="42">
        <f t="shared" si="96"/>
        <v>703.42061268957923</v>
      </c>
      <c r="BB353" s="42">
        <f t="shared" si="97"/>
        <v>87</v>
      </c>
      <c r="BC353" s="38">
        <f t="shared" si="100"/>
        <v>9.36</v>
      </c>
      <c r="BD353" s="38">
        <f t="shared" si="101"/>
        <v>49.263157894736835</v>
      </c>
      <c r="BE353" s="38">
        <f t="shared" si="102"/>
        <v>1.8753</v>
      </c>
      <c r="BH353" s="34">
        <v>51.9</v>
      </c>
      <c r="BI353" s="43">
        <v>0.96</v>
      </c>
    </row>
    <row r="354" spans="14:61">
      <c r="N354" s="30" t="s">
        <v>573</v>
      </c>
      <c r="O354" s="40">
        <v>19.7</v>
      </c>
      <c r="P354" s="128">
        <v>9</v>
      </c>
      <c r="Q354" s="128">
        <v>0.56999999999999995</v>
      </c>
      <c r="R354" s="128">
        <v>8.2799999999999994</v>
      </c>
      <c r="S354" s="128">
        <v>0.93500000000000005</v>
      </c>
      <c r="T354" s="40">
        <v>1.33</v>
      </c>
      <c r="U354" s="132">
        <v>0.9375</v>
      </c>
      <c r="V354" s="40">
        <v>4.43</v>
      </c>
      <c r="W354" s="84" t="s">
        <v>127</v>
      </c>
      <c r="X354" s="35">
        <f t="shared" si="86"/>
        <v>12.508771929824562</v>
      </c>
      <c r="Y354" s="36">
        <f t="shared" si="87"/>
        <v>2.4321232513862805</v>
      </c>
      <c r="Z354" s="34">
        <v>1.1599999999999999</v>
      </c>
      <c r="AA354" s="40">
        <v>272</v>
      </c>
      <c r="AB354" s="128">
        <v>60.4</v>
      </c>
      <c r="AC354" s="40">
        <v>3.72</v>
      </c>
      <c r="AD354" s="40">
        <v>88.6</v>
      </c>
      <c r="AE354" s="128">
        <v>21.4</v>
      </c>
      <c r="AF354" s="40">
        <v>2.12</v>
      </c>
      <c r="AG354" s="41">
        <v>70.099999999999994</v>
      </c>
      <c r="AH354" s="40">
        <v>32.700000000000003</v>
      </c>
      <c r="AI354" s="41">
        <v>5.05</v>
      </c>
      <c r="AJ354" s="40">
        <v>1440</v>
      </c>
      <c r="AK354" s="40">
        <v>16.7</v>
      </c>
      <c r="AL354" s="40">
        <v>32.299999999999997</v>
      </c>
      <c r="AM354" s="40">
        <v>14.5</v>
      </c>
      <c r="AN354" s="40">
        <v>34.799999999999997</v>
      </c>
      <c r="AO354" s="130" t="s">
        <v>123</v>
      </c>
      <c r="AP354" s="39" t="s">
        <v>69</v>
      </c>
      <c r="AQ354" s="40">
        <f t="shared" si="88"/>
        <v>89.859195384779639</v>
      </c>
      <c r="AR354" s="41">
        <f t="shared" si="98"/>
        <v>8.0649999999999995</v>
      </c>
      <c r="AS354" s="37">
        <f t="shared" si="89"/>
        <v>572.13855709419749</v>
      </c>
      <c r="AT354" s="42">
        <f t="shared" si="90"/>
        <v>3504.9999999999995</v>
      </c>
      <c r="AU354" s="31">
        <f t="shared" si="91"/>
        <v>2114</v>
      </c>
      <c r="AV354" s="31">
        <f t="shared" si="92"/>
        <v>2.8842204548618078</v>
      </c>
      <c r="AW354" s="37">
        <f t="shared" si="93"/>
        <v>7077.4313885751972</v>
      </c>
      <c r="AX354" s="31">
        <f t="shared" si="94"/>
        <v>89.859195384779639</v>
      </c>
      <c r="AY354" s="42">
        <f t="shared" si="95"/>
        <v>3719.1798902903606</v>
      </c>
      <c r="AZ354" s="42">
        <f t="shared" si="99"/>
        <v>427476.85586994188</v>
      </c>
      <c r="BA354" s="42">
        <f t="shared" si="96"/>
        <v>3915.9781579525334</v>
      </c>
      <c r="BB354" s="42">
        <f t="shared" si="97"/>
        <v>1635.0000000000002</v>
      </c>
      <c r="BC354" s="38">
        <f t="shared" si="100"/>
        <v>7.67</v>
      </c>
      <c r="BD354" s="38">
        <f t="shared" si="101"/>
        <v>13.456140350877194</v>
      </c>
      <c r="BE354" s="38">
        <f t="shared" si="102"/>
        <v>5.13</v>
      </c>
      <c r="BH354" s="34">
        <v>15.8</v>
      </c>
      <c r="BI354" s="43">
        <v>2.2799999999999998</v>
      </c>
    </row>
    <row r="355" spans="14:61">
      <c r="N355" s="30" t="s">
        <v>574</v>
      </c>
      <c r="O355" s="40">
        <v>17.100000000000001</v>
      </c>
      <c r="P355" s="128">
        <v>8.75</v>
      </c>
      <c r="Q355" s="128">
        <v>0.51</v>
      </c>
      <c r="R355" s="128">
        <v>8.2200000000000006</v>
      </c>
      <c r="S355" s="128">
        <v>0.81</v>
      </c>
      <c r="T355" s="40">
        <v>1.2</v>
      </c>
      <c r="U355" s="132">
        <v>0.875</v>
      </c>
      <c r="V355" s="40">
        <v>5.07</v>
      </c>
      <c r="W355" s="84" t="s">
        <v>127</v>
      </c>
      <c r="X355" s="35">
        <f t="shared" si="86"/>
        <v>13.980392156862745</v>
      </c>
      <c r="Y355" s="36">
        <f t="shared" si="87"/>
        <v>2.394492880308094</v>
      </c>
      <c r="Z355" s="34">
        <v>1.31</v>
      </c>
      <c r="AA355" s="40">
        <v>228</v>
      </c>
      <c r="AB355" s="128">
        <v>52</v>
      </c>
      <c r="AC355" s="40">
        <v>3.65</v>
      </c>
      <c r="AD355" s="40">
        <v>75.099999999999994</v>
      </c>
      <c r="AE355" s="128">
        <v>18.3</v>
      </c>
      <c r="AF355" s="40">
        <v>2.1</v>
      </c>
      <c r="AG355" s="41">
        <v>59.8</v>
      </c>
      <c r="AH355" s="40">
        <v>27.9</v>
      </c>
      <c r="AI355" s="41">
        <v>3.33</v>
      </c>
      <c r="AJ355" s="40">
        <v>1180</v>
      </c>
      <c r="AK355" s="40">
        <v>16.3</v>
      </c>
      <c r="AL355" s="40">
        <v>27.2</v>
      </c>
      <c r="AM355" s="40">
        <v>12.4</v>
      </c>
      <c r="AN355" s="40">
        <v>29.7</v>
      </c>
      <c r="AO355" s="130" t="s">
        <v>123</v>
      </c>
      <c r="AP355" s="39" t="s">
        <v>69</v>
      </c>
      <c r="AQ355" s="40">
        <f t="shared" si="88"/>
        <v>89.011467126432649</v>
      </c>
      <c r="AR355" s="41">
        <f t="shared" si="98"/>
        <v>7.9399999999999995</v>
      </c>
      <c r="AS355" s="37">
        <f t="shared" si="89"/>
        <v>500.25342017005437</v>
      </c>
      <c r="AT355" s="42">
        <f t="shared" si="90"/>
        <v>2990</v>
      </c>
      <c r="AU355" s="31">
        <f t="shared" si="91"/>
        <v>1820</v>
      </c>
      <c r="AV355" s="31">
        <f t="shared" si="92"/>
        <v>2.8450404715296509</v>
      </c>
      <c r="AW355" s="37">
        <f t="shared" si="93"/>
        <v>6838.2866190027144</v>
      </c>
      <c r="AX355" s="31">
        <f t="shared" si="94"/>
        <v>89.011467126432649</v>
      </c>
      <c r="AY355" s="42">
        <f t="shared" si="95"/>
        <v>3198.8585950490697</v>
      </c>
      <c r="AZ355" s="42">
        <f t="shared" si="99"/>
        <v>355590.90418814117</v>
      </c>
      <c r="BA355" s="42">
        <f t="shared" si="96"/>
        <v>3335.6825627638136</v>
      </c>
      <c r="BB355" s="42">
        <f t="shared" si="97"/>
        <v>1395</v>
      </c>
      <c r="BC355" s="38">
        <f t="shared" si="100"/>
        <v>7.55</v>
      </c>
      <c r="BD355" s="38">
        <f t="shared" si="101"/>
        <v>14.80392156862745</v>
      </c>
      <c r="BE355" s="38">
        <f t="shared" si="102"/>
        <v>4.4625000000000004</v>
      </c>
      <c r="BH355" s="34">
        <v>17.2</v>
      </c>
      <c r="BI355" s="43">
        <v>2.2599999999999998</v>
      </c>
    </row>
    <row r="356" spans="14:61">
      <c r="N356" s="30" t="s">
        <v>575</v>
      </c>
      <c r="O356" s="40">
        <v>14.1</v>
      </c>
      <c r="P356" s="128">
        <v>8.5</v>
      </c>
      <c r="Q356" s="128">
        <v>0.4</v>
      </c>
      <c r="R356" s="128">
        <v>8.11</v>
      </c>
      <c r="S356" s="128">
        <v>0.68500000000000005</v>
      </c>
      <c r="T356" s="40">
        <v>1.08</v>
      </c>
      <c r="U356" s="132">
        <v>0.8125</v>
      </c>
      <c r="V356" s="40">
        <v>5.92</v>
      </c>
      <c r="W356" s="84" t="s">
        <v>127</v>
      </c>
      <c r="X356" s="35">
        <f t="shared" si="86"/>
        <v>17.824999999999999</v>
      </c>
      <c r="Y356" s="36">
        <f t="shared" si="87"/>
        <v>2.3470171672429951</v>
      </c>
      <c r="Z356" s="34">
        <v>1.53</v>
      </c>
      <c r="AA356" s="40">
        <v>184</v>
      </c>
      <c r="AB356" s="128">
        <v>43.2</v>
      </c>
      <c r="AC356" s="40">
        <v>3.61</v>
      </c>
      <c r="AD356" s="40">
        <v>60.9</v>
      </c>
      <c r="AE356" s="128">
        <v>15</v>
      </c>
      <c r="AF356" s="40">
        <v>2.08</v>
      </c>
      <c r="AG356" s="41">
        <v>49</v>
      </c>
      <c r="AH356" s="40">
        <v>22.9</v>
      </c>
      <c r="AI356" s="41">
        <v>1.96</v>
      </c>
      <c r="AJ356" s="40">
        <v>930</v>
      </c>
      <c r="AK356" s="40">
        <v>15.8</v>
      </c>
      <c r="AL356" s="40">
        <v>22</v>
      </c>
      <c r="AM356" s="40">
        <v>10.3</v>
      </c>
      <c r="AN356" s="40">
        <v>24.2</v>
      </c>
      <c r="AO356" s="130" t="s">
        <v>123</v>
      </c>
      <c r="AP356" s="39" t="s">
        <v>69</v>
      </c>
      <c r="AQ356" s="40">
        <f t="shared" si="88"/>
        <v>88.163738868085673</v>
      </c>
      <c r="AR356" s="41">
        <f t="shared" si="98"/>
        <v>7.8149999999999995</v>
      </c>
      <c r="AS356" s="37">
        <f t="shared" si="89"/>
        <v>422.35430419169683</v>
      </c>
      <c r="AT356" s="42">
        <f t="shared" si="90"/>
        <v>2450</v>
      </c>
      <c r="AU356" s="31">
        <f t="shared" si="91"/>
        <v>1512</v>
      </c>
      <c r="AV356" s="31">
        <f t="shared" si="92"/>
        <v>2.8067818105268594</v>
      </c>
      <c r="AW356" s="37">
        <f t="shared" si="93"/>
        <v>6548.3505929400799</v>
      </c>
      <c r="AX356" s="31">
        <f t="shared" si="94"/>
        <v>88.163738868085673</v>
      </c>
      <c r="AY356" s="42">
        <f t="shared" si="95"/>
        <v>2653.6705823587636</v>
      </c>
      <c r="AZ356" s="42">
        <f t="shared" si="99"/>
        <v>282888.74561501149</v>
      </c>
      <c r="BA356" s="42">
        <f t="shared" si="96"/>
        <v>2727.1369605747495</v>
      </c>
      <c r="BB356" s="42">
        <f t="shared" si="97"/>
        <v>1145</v>
      </c>
      <c r="BC356" s="38">
        <f t="shared" si="100"/>
        <v>7.42</v>
      </c>
      <c r="BD356" s="38">
        <f t="shared" si="101"/>
        <v>18.549999999999997</v>
      </c>
      <c r="BE356" s="38">
        <f t="shared" si="102"/>
        <v>3.4000000000000004</v>
      </c>
      <c r="BH356" s="34">
        <v>21.3</v>
      </c>
      <c r="BI356" s="43">
        <v>2.23</v>
      </c>
    </row>
    <row r="357" spans="14:61">
      <c r="N357" s="30" t="s">
        <v>576</v>
      </c>
      <c r="O357" s="40">
        <v>11.7</v>
      </c>
      <c r="P357" s="128">
        <v>8.25</v>
      </c>
      <c r="Q357" s="128">
        <v>0.36</v>
      </c>
      <c r="R357" s="128">
        <v>8.07</v>
      </c>
      <c r="S357" s="128">
        <v>0.56000000000000005</v>
      </c>
      <c r="T357" s="40">
        <v>0.95399999999999996</v>
      </c>
      <c r="U357" s="132">
        <v>0.8125</v>
      </c>
      <c r="V357" s="40">
        <v>7.21</v>
      </c>
      <c r="W357" s="84" t="s">
        <v>127</v>
      </c>
      <c r="X357" s="35">
        <f t="shared" si="86"/>
        <v>19.805555555555557</v>
      </c>
      <c r="Y357" s="36">
        <f t="shared" si="87"/>
        <v>2.3060819769702556</v>
      </c>
      <c r="Z357" s="34">
        <v>1.83</v>
      </c>
      <c r="AA357" s="40">
        <v>146</v>
      </c>
      <c r="AB357" s="128">
        <v>35.5</v>
      </c>
      <c r="AC357" s="40">
        <v>3.53</v>
      </c>
      <c r="AD357" s="40">
        <v>49.1</v>
      </c>
      <c r="AE357" s="128">
        <v>12.2</v>
      </c>
      <c r="AF357" s="40">
        <v>2.04</v>
      </c>
      <c r="AG357" s="41">
        <v>39.799999999999997</v>
      </c>
      <c r="AH357" s="40">
        <v>18.5</v>
      </c>
      <c r="AI357" s="41">
        <v>1.1200000000000001</v>
      </c>
      <c r="AJ357" s="40">
        <v>726</v>
      </c>
      <c r="AK357" s="40">
        <v>15.5</v>
      </c>
      <c r="AL357" s="40">
        <v>17.5</v>
      </c>
      <c r="AM357" s="40">
        <v>8.3000000000000007</v>
      </c>
      <c r="AN357" s="40">
        <v>19.7</v>
      </c>
      <c r="AO357" s="130" t="s">
        <v>123</v>
      </c>
      <c r="AP357" s="39" t="s">
        <v>69</v>
      </c>
      <c r="AQ357" s="40">
        <f t="shared" si="88"/>
        <v>86.468282351391721</v>
      </c>
      <c r="AR357" s="41">
        <f t="shared" si="98"/>
        <v>7.6899999999999995</v>
      </c>
      <c r="AS357" s="37">
        <f t="shared" si="89"/>
        <v>358.69573585632037</v>
      </c>
      <c r="AT357" s="42">
        <f t="shared" si="90"/>
        <v>1989.9999999999998</v>
      </c>
      <c r="AU357" s="31">
        <f t="shared" si="91"/>
        <v>1242.5</v>
      </c>
      <c r="AV357" s="31">
        <f t="shared" si="92"/>
        <v>2.7458656001660993</v>
      </c>
      <c r="AW357" s="37">
        <f t="shared" si="93"/>
        <v>6305.2802861404361</v>
      </c>
      <c r="AX357" s="31">
        <f t="shared" si="94"/>
        <v>86.468282351391721</v>
      </c>
      <c r="AY357" s="42">
        <f t="shared" si="95"/>
        <v>2184.5947786515444</v>
      </c>
      <c r="AZ357" s="42">
        <f t="shared" si="99"/>
        <v>223837.45015798547</v>
      </c>
      <c r="BA357" s="42">
        <f t="shared" si="96"/>
        <v>2210.8527484324363</v>
      </c>
      <c r="BB357" s="42">
        <f t="shared" si="97"/>
        <v>925</v>
      </c>
      <c r="BC357" s="38">
        <f t="shared" si="100"/>
        <v>7.2960000000000003</v>
      </c>
      <c r="BD357" s="38">
        <f t="shared" si="101"/>
        <v>20.266666666666669</v>
      </c>
      <c r="BE357" s="38">
        <f t="shared" si="102"/>
        <v>2.9699999999999998</v>
      </c>
      <c r="BH357" s="34">
        <v>22.9</v>
      </c>
      <c r="BI357" s="43">
        <v>2.21</v>
      </c>
    </row>
    <row r="358" spans="14:61">
      <c r="N358" s="30" t="s">
        <v>577</v>
      </c>
      <c r="O358" s="40">
        <v>10.3</v>
      </c>
      <c r="P358" s="128">
        <v>8.1199999999999992</v>
      </c>
      <c r="Q358" s="128">
        <v>0.31</v>
      </c>
      <c r="R358" s="128">
        <v>8.02</v>
      </c>
      <c r="S358" s="128">
        <v>0.495</v>
      </c>
      <c r="T358" s="40">
        <v>0.88900000000000001</v>
      </c>
      <c r="U358" s="132">
        <v>0.8125</v>
      </c>
      <c r="V358" s="40">
        <v>8.1</v>
      </c>
      <c r="W358" s="34">
        <v>64.400000000000006</v>
      </c>
      <c r="X358" s="35">
        <f t="shared" si="86"/>
        <v>22.999999999999996</v>
      </c>
      <c r="Y358" s="36">
        <f t="shared" si="87"/>
        <v>2.2815628078476924</v>
      </c>
      <c r="Z358" s="34">
        <v>2.0499999999999998</v>
      </c>
      <c r="AA358" s="40">
        <v>127</v>
      </c>
      <c r="AB358" s="128">
        <v>31.2</v>
      </c>
      <c r="AC358" s="40">
        <v>3.51</v>
      </c>
      <c r="AD358" s="40">
        <v>42.6</v>
      </c>
      <c r="AE358" s="128">
        <v>10.6</v>
      </c>
      <c r="AF358" s="40">
        <v>2.0299999999999998</v>
      </c>
      <c r="AG358" s="41">
        <v>34.700000000000003</v>
      </c>
      <c r="AH358" s="40">
        <v>16.100000000000001</v>
      </c>
      <c r="AI358" s="41">
        <v>0.76900000000000002</v>
      </c>
      <c r="AJ358" s="40">
        <v>619</v>
      </c>
      <c r="AK358" s="40">
        <v>15.3</v>
      </c>
      <c r="AL358" s="40">
        <v>15.2</v>
      </c>
      <c r="AM358" s="40">
        <v>7.28</v>
      </c>
      <c r="AN358" s="40">
        <v>17.100000000000001</v>
      </c>
      <c r="AO358" s="130" t="s">
        <v>123</v>
      </c>
      <c r="AP358" s="39" t="s">
        <v>69</v>
      </c>
      <c r="AQ358" s="40">
        <f t="shared" si="88"/>
        <v>86.044418222218212</v>
      </c>
      <c r="AR358" s="41">
        <f t="shared" si="98"/>
        <v>7.6249999999999991</v>
      </c>
      <c r="AS358" s="37">
        <f t="shared" si="89"/>
        <v>324.26266297733633</v>
      </c>
      <c r="AT358" s="42">
        <f t="shared" si="90"/>
        <v>1735.0000000000002</v>
      </c>
      <c r="AU358" s="31">
        <f t="shared" si="91"/>
        <v>1092</v>
      </c>
      <c r="AV358" s="31">
        <f t="shared" si="92"/>
        <v>2.6992055149301715</v>
      </c>
      <c r="AW358" s="37">
        <f t="shared" si="93"/>
        <v>6163.2180331322897</v>
      </c>
      <c r="AX358" s="31">
        <f t="shared" si="94"/>
        <v>86.044418222218212</v>
      </c>
      <c r="AY358" s="42">
        <f t="shared" si="95"/>
        <v>1925.1439621614591</v>
      </c>
      <c r="AZ358" s="42">
        <f t="shared" si="99"/>
        <v>192292.40263372744</v>
      </c>
      <c r="BA358" s="42">
        <f t="shared" si="96"/>
        <v>1924.9776819291731</v>
      </c>
      <c r="BB358" s="42">
        <f t="shared" si="97"/>
        <v>805.00000000000011</v>
      </c>
      <c r="BC358" s="38">
        <f t="shared" si="100"/>
        <v>7.230999999999999</v>
      </c>
      <c r="BD358" s="38">
        <f t="shared" si="101"/>
        <v>23.325806451612902</v>
      </c>
      <c r="BE358" s="38">
        <f t="shared" si="102"/>
        <v>2.5171999999999999</v>
      </c>
      <c r="BH358" s="34">
        <v>26.2</v>
      </c>
      <c r="BI358" s="43">
        <v>2.2000000000000002</v>
      </c>
    </row>
    <row r="359" spans="14:61">
      <c r="N359" s="30" t="s">
        <v>578</v>
      </c>
      <c r="O359" s="40">
        <v>9.1199999999999992</v>
      </c>
      <c r="P359" s="128">
        <v>8</v>
      </c>
      <c r="Q359" s="128">
        <v>0.28499999999999998</v>
      </c>
      <c r="R359" s="128">
        <v>8</v>
      </c>
      <c r="S359" s="128">
        <v>0.435</v>
      </c>
      <c r="T359" s="40">
        <v>0.82899999999999996</v>
      </c>
      <c r="U359" s="132">
        <v>0.75</v>
      </c>
      <c r="V359" s="40">
        <v>9.19</v>
      </c>
      <c r="W359" s="34">
        <v>50</v>
      </c>
      <c r="X359" s="35">
        <f t="shared" si="86"/>
        <v>25.017543859649123</v>
      </c>
      <c r="Y359" s="36">
        <f t="shared" si="87"/>
        <v>2.2589679864124599</v>
      </c>
      <c r="Z359" s="34">
        <v>2.2999999999999998</v>
      </c>
      <c r="AA359" s="40">
        <v>110</v>
      </c>
      <c r="AB359" s="128">
        <v>27.5</v>
      </c>
      <c r="AC359" s="40">
        <v>3.47</v>
      </c>
      <c r="AD359" s="40">
        <v>37.1</v>
      </c>
      <c r="AE359" s="128">
        <v>9.27</v>
      </c>
      <c r="AF359" s="40">
        <v>2.02</v>
      </c>
      <c r="AG359" s="41">
        <v>30.4</v>
      </c>
      <c r="AH359" s="40">
        <v>14.1</v>
      </c>
      <c r="AI359" s="41">
        <v>0.53600000000000003</v>
      </c>
      <c r="AJ359" s="40">
        <v>531</v>
      </c>
      <c r="AK359" s="40">
        <v>15.1</v>
      </c>
      <c r="AL359" s="40">
        <v>13.1</v>
      </c>
      <c r="AM359" s="40">
        <v>6.34</v>
      </c>
      <c r="AN359" s="40">
        <v>15</v>
      </c>
      <c r="AO359" s="130" t="s">
        <v>123</v>
      </c>
      <c r="AP359" s="39" t="s">
        <v>69</v>
      </c>
      <c r="AQ359" s="40">
        <f t="shared" si="88"/>
        <v>85.620554093044746</v>
      </c>
      <c r="AR359" s="41">
        <f t="shared" si="98"/>
        <v>7.5650000000000004</v>
      </c>
      <c r="AS359" s="37">
        <f t="shared" si="89"/>
        <v>297.33598219251871</v>
      </c>
      <c r="AT359" s="42">
        <f t="shared" si="90"/>
        <v>1520</v>
      </c>
      <c r="AU359" s="31">
        <f t="shared" si="91"/>
        <v>962.5</v>
      </c>
      <c r="AV359" s="31">
        <f t="shared" si="92"/>
        <v>2.63325164823633</v>
      </c>
      <c r="AW359" s="37">
        <f t="shared" si="93"/>
        <v>6035.1694030910685</v>
      </c>
      <c r="AX359" s="31">
        <f t="shared" si="94"/>
        <v>85.620554093044746</v>
      </c>
      <c r="AY359" s="42">
        <f t="shared" si="95"/>
        <v>1704.3817394759312</v>
      </c>
      <c r="AZ359" s="42">
        <f t="shared" si="99"/>
        <v>165967.15858500439</v>
      </c>
      <c r="BA359" s="42">
        <f t="shared" si="96"/>
        <v>1684.716263881048</v>
      </c>
      <c r="BB359" s="42">
        <f t="shared" si="97"/>
        <v>705</v>
      </c>
      <c r="BC359" s="38">
        <f t="shared" si="100"/>
        <v>7.1710000000000003</v>
      </c>
      <c r="BD359" s="38">
        <f t="shared" si="101"/>
        <v>25.161403508771933</v>
      </c>
      <c r="BE359" s="38">
        <f t="shared" si="102"/>
        <v>2.2799999999999998</v>
      </c>
      <c r="BH359" s="34">
        <v>28.1</v>
      </c>
      <c r="BI359" s="43">
        <v>2.1800000000000002</v>
      </c>
    </row>
    <row r="360" spans="14:61">
      <c r="N360" s="30" t="s">
        <v>579</v>
      </c>
      <c r="O360" s="40">
        <v>8.24</v>
      </c>
      <c r="P360" s="128">
        <v>8.06</v>
      </c>
      <c r="Q360" s="128">
        <v>0.28499999999999998</v>
      </c>
      <c r="R360" s="128">
        <v>6.54</v>
      </c>
      <c r="S360" s="128">
        <v>0.46500000000000002</v>
      </c>
      <c r="T360" s="40">
        <v>0.85899999999999999</v>
      </c>
      <c r="U360" s="132">
        <v>0.625</v>
      </c>
      <c r="V360" s="40">
        <v>7.03</v>
      </c>
      <c r="W360" s="84" t="s">
        <v>127</v>
      </c>
      <c r="X360" s="35">
        <f t="shared" si="86"/>
        <v>25.017543859649127</v>
      </c>
      <c r="Y360" s="36">
        <f t="shared" si="87"/>
        <v>1.8415165292692912</v>
      </c>
      <c r="Z360" s="34">
        <v>2.65</v>
      </c>
      <c r="AA360" s="40">
        <v>98</v>
      </c>
      <c r="AB360" s="128">
        <v>24.3</v>
      </c>
      <c r="AC360" s="40">
        <v>3.45</v>
      </c>
      <c r="AD360" s="40">
        <v>21.7</v>
      </c>
      <c r="AE360" s="128">
        <v>6.63</v>
      </c>
      <c r="AF360" s="40">
        <v>1.62</v>
      </c>
      <c r="AG360" s="41">
        <v>27.2</v>
      </c>
      <c r="AH360" s="40">
        <v>10.1</v>
      </c>
      <c r="AI360" s="41">
        <v>0.53700000000000003</v>
      </c>
      <c r="AJ360" s="40">
        <v>313</v>
      </c>
      <c r="AK360" s="40">
        <v>12.4</v>
      </c>
      <c r="AL360" s="40">
        <v>9.43</v>
      </c>
      <c r="AM360" s="40">
        <v>5.52</v>
      </c>
      <c r="AN360" s="40">
        <v>13.4</v>
      </c>
      <c r="AO360" s="130" t="s">
        <v>580</v>
      </c>
      <c r="AP360" s="39" t="s">
        <v>204</v>
      </c>
      <c r="AQ360" s="40">
        <f t="shared" si="88"/>
        <v>68.6659889261052</v>
      </c>
      <c r="AR360" s="41">
        <f t="shared" si="98"/>
        <v>7.5950000000000006</v>
      </c>
      <c r="AS360" s="37">
        <f t="shared" si="89"/>
        <v>252.27468937900574</v>
      </c>
      <c r="AT360" s="42">
        <f t="shared" si="90"/>
        <v>1360</v>
      </c>
      <c r="AU360" s="31">
        <f t="shared" si="91"/>
        <v>850.5</v>
      </c>
      <c r="AV360" s="31">
        <f t="shared" si="92"/>
        <v>2.7749229679379894</v>
      </c>
      <c r="AW360" s="37">
        <f t="shared" si="93"/>
        <v>4023.9951092601846</v>
      </c>
      <c r="AX360" s="31">
        <f t="shared" si="94"/>
        <v>68.6659889261052</v>
      </c>
      <c r="AY360" s="42">
        <f t="shared" si="95"/>
        <v>1507.2540314873922</v>
      </c>
      <c r="AZ360" s="42">
        <f t="shared" si="99"/>
        <v>97783.08115502249</v>
      </c>
      <c r="BA360" s="42">
        <f t="shared" si="96"/>
        <v>1510.5344151522761</v>
      </c>
      <c r="BB360" s="42">
        <f t="shared" si="97"/>
        <v>505</v>
      </c>
      <c r="BC360" s="38">
        <f t="shared" si="100"/>
        <v>7.2010000000000005</v>
      </c>
      <c r="BD360" s="38">
        <f t="shared" si="101"/>
        <v>25.266666666666669</v>
      </c>
      <c r="BE360" s="38">
        <f t="shared" si="102"/>
        <v>2.2970999999999999</v>
      </c>
      <c r="BH360" s="34">
        <v>28.3</v>
      </c>
      <c r="BI360" s="43">
        <v>1.77</v>
      </c>
    </row>
    <row r="361" spans="14:61">
      <c r="N361" s="30" t="s">
        <v>581</v>
      </c>
      <c r="O361" s="40">
        <v>7.08</v>
      </c>
      <c r="P361" s="128">
        <v>7.93</v>
      </c>
      <c r="Q361" s="128">
        <v>0.245</v>
      </c>
      <c r="R361" s="128">
        <v>6.5</v>
      </c>
      <c r="S361" s="128">
        <v>0.4</v>
      </c>
      <c r="T361" s="40">
        <v>0.79400000000000004</v>
      </c>
      <c r="U361" s="132">
        <v>0.5625</v>
      </c>
      <c r="V361" s="40">
        <v>8.1199999999999992</v>
      </c>
      <c r="W361" s="34">
        <v>64.099999999999994</v>
      </c>
      <c r="X361" s="35">
        <f t="shared" si="86"/>
        <v>29.102040816326532</v>
      </c>
      <c r="Y361" s="36">
        <f t="shared" si="87"/>
        <v>1.8156615307535635</v>
      </c>
      <c r="Z361" s="34">
        <v>3.05</v>
      </c>
      <c r="AA361" s="40">
        <v>82.7</v>
      </c>
      <c r="AB361" s="128">
        <v>20.9</v>
      </c>
      <c r="AC361" s="40">
        <v>3.42</v>
      </c>
      <c r="AD361" s="40">
        <v>18.3</v>
      </c>
      <c r="AE361" s="128">
        <v>5.63</v>
      </c>
      <c r="AF361" s="40">
        <v>1.61</v>
      </c>
      <c r="AG361" s="41">
        <v>23.1</v>
      </c>
      <c r="AH361" s="40">
        <v>8.57</v>
      </c>
      <c r="AI361" s="41">
        <v>0.34599999999999997</v>
      </c>
      <c r="AJ361" s="40">
        <v>259</v>
      </c>
      <c r="AK361" s="40">
        <v>12.2</v>
      </c>
      <c r="AL361" s="40">
        <v>7.94</v>
      </c>
      <c r="AM361" s="40">
        <v>4.71</v>
      </c>
      <c r="AN361" s="40">
        <v>11.3</v>
      </c>
      <c r="AO361" s="130" t="s">
        <v>580</v>
      </c>
      <c r="AP361" s="39" t="s">
        <v>204</v>
      </c>
      <c r="AQ361" s="40">
        <f t="shared" si="88"/>
        <v>68.242124796931705</v>
      </c>
      <c r="AR361" s="41">
        <f t="shared" si="98"/>
        <v>7.5299999999999994</v>
      </c>
      <c r="AS361" s="37">
        <f t="shared" si="89"/>
        <v>227.80262972046441</v>
      </c>
      <c r="AT361" s="42">
        <f t="shared" si="90"/>
        <v>1155</v>
      </c>
      <c r="AU361" s="31">
        <f t="shared" si="91"/>
        <v>731.5</v>
      </c>
      <c r="AV361" s="31">
        <f t="shared" si="92"/>
        <v>2.6541655794017252</v>
      </c>
      <c r="AW361" s="37">
        <f t="shared" si="93"/>
        <v>3904.8066971133926</v>
      </c>
      <c r="AX361" s="31">
        <f t="shared" si="94"/>
        <v>68.242124796931705</v>
      </c>
      <c r="AY361" s="42">
        <f t="shared" si="95"/>
        <v>1294.7209156625861</v>
      </c>
      <c r="AZ361" s="42">
        <f t="shared" si="99"/>
        <v>81610.459969669901</v>
      </c>
      <c r="BA361" s="42">
        <f t="shared" si="96"/>
        <v>1280.1252695132266</v>
      </c>
      <c r="BB361" s="42">
        <f t="shared" si="97"/>
        <v>428.5</v>
      </c>
      <c r="BC361" s="38">
        <f t="shared" si="100"/>
        <v>7.1359999999999992</v>
      </c>
      <c r="BD361" s="38">
        <f t="shared" si="101"/>
        <v>29.126530612244895</v>
      </c>
      <c r="BE361" s="38">
        <f t="shared" si="102"/>
        <v>1.94285</v>
      </c>
      <c r="BH361" s="34">
        <v>32.4</v>
      </c>
      <c r="BI361" s="43">
        <v>1.76</v>
      </c>
    </row>
    <row r="362" spans="14:61">
      <c r="N362" s="30" t="s">
        <v>582</v>
      </c>
      <c r="O362" s="40">
        <v>6.16</v>
      </c>
      <c r="P362" s="128">
        <v>8.2799999999999994</v>
      </c>
      <c r="Q362" s="128">
        <v>0.25</v>
      </c>
      <c r="R362" s="128">
        <v>5.27</v>
      </c>
      <c r="S362" s="128">
        <v>0.4</v>
      </c>
      <c r="T362" s="40">
        <v>0.7</v>
      </c>
      <c r="U362" s="132">
        <v>0.5625</v>
      </c>
      <c r="V362" s="40">
        <v>6.59</v>
      </c>
      <c r="W362" s="84" t="s">
        <v>127</v>
      </c>
      <c r="X362" s="35">
        <f t="shared" si="86"/>
        <v>29.919999999999998</v>
      </c>
      <c r="Y362" s="36">
        <f t="shared" si="87"/>
        <v>1.4543190695455916</v>
      </c>
      <c r="Z362" s="34">
        <v>3.93</v>
      </c>
      <c r="AA362" s="40">
        <v>75.3</v>
      </c>
      <c r="AB362" s="128">
        <v>18.2</v>
      </c>
      <c r="AC362" s="40">
        <v>3.49</v>
      </c>
      <c r="AD362" s="40">
        <v>9.77</v>
      </c>
      <c r="AE362" s="128">
        <v>3.71</v>
      </c>
      <c r="AF362" s="40">
        <v>1.26</v>
      </c>
      <c r="AG362" s="41">
        <v>20.399999999999999</v>
      </c>
      <c r="AH362" s="40">
        <v>5.69</v>
      </c>
      <c r="AI362" s="41">
        <v>0.28199999999999997</v>
      </c>
      <c r="AJ362" s="40">
        <v>152</v>
      </c>
      <c r="AK362" s="40">
        <v>10.4</v>
      </c>
      <c r="AL362" s="40">
        <v>5.47</v>
      </c>
      <c r="AM362" s="40">
        <v>3.96</v>
      </c>
      <c r="AN362" s="40">
        <v>10.1</v>
      </c>
      <c r="AO362" s="130" t="s">
        <v>583</v>
      </c>
      <c r="AP362" s="39" t="s">
        <v>181</v>
      </c>
      <c r="AQ362" s="40">
        <f t="shared" si="88"/>
        <v>53.406880275859592</v>
      </c>
      <c r="AR362" s="41">
        <f t="shared" si="98"/>
        <v>7.879999999999999</v>
      </c>
      <c r="AS362" s="37">
        <f t="shared" si="89"/>
        <v>176.92665094661845</v>
      </c>
      <c r="AT362" s="42">
        <f t="shared" si="90"/>
        <v>1019.9999999999999</v>
      </c>
      <c r="AU362" s="31">
        <f t="shared" si="91"/>
        <v>637</v>
      </c>
      <c r="AV362" s="31">
        <f t="shared" si="92"/>
        <v>3.1007181920769904</v>
      </c>
      <c r="AW362" s="37">
        <f t="shared" si="93"/>
        <v>2511.4012278388068</v>
      </c>
      <c r="AX362" s="31">
        <f t="shared" si="94"/>
        <v>53.406880275859592</v>
      </c>
      <c r="AY362" s="42">
        <f t="shared" si="95"/>
        <v>1137.2284814570344</v>
      </c>
      <c r="AZ362" s="42">
        <f t="shared" si="99"/>
        <v>45707.502346666282</v>
      </c>
      <c r="BA362" s="42">
        <f t="shared" si="96"/>
        <v>1133.1593346483251</v>
      </c>
      <c r="BB362" s="42">
        <f t="shared" si="97"/>
        <v>284.5</v>
      </c>
      <c r="BC362" s="38">
        <f t="shared" si="100"/>
        <v>7.5799999999999992</v>
      </c>
      <c r="BD362" s="38">
        <f t="shared" si="101"/>
        <v>30.319999999999997</v>
      </c>
      <c r="BE362" s="38">
        <f t="shared" si="102"/>
        <v>2.0699999999999998</v>
      </c>
      <c r="BH362" s="34">
        <v>33.1</v>
      </c>
      <c r="BI362" s="43">
        <v>1.41</v>
      </c>
    </row>
    <row r="363" spans="14:61">
      <c r="N363" s="30" t="s">
        <v>584</v>
      </c>
      <c r="O363" s="40">
        <v>5.26</v>
      </c>
      <c r="P363" s="128">
        <v>8.14</v>
      </c>
      <c r="Q363" s="128">
        <v>0.23</v>
      </c>
      <c r="R363" s="128">
        <v>5.25</v>
      </c>
      <c r="S363" s="128">
        <v>0.33</v>
      </c>
      <c r="T363" s="40">
        <v>0.63</v>
      </c>
      <c r="U363" s="132">
        <v>0.5625</v>
      </c>
      <c r="V363" s="40">
        <v>7.95</v>
      </c>
      <c r="W363" s="84" t="s">
        <v>127</v>
      </c>
      <c r="X363" s="35">
        <f t="shared" si="86"/>
        <v>32.521739130434781</v>
      </c>
      <c r="Y363" s="36">
        <f t="shared" si="87"/>
        <v>1.4309283423891748</v>
      </c>
      <c r="Z363" s="34">
        <v>4.7</v>
      </c>
      <c r="AA363" s="40">
        <v>61.9</v>
      </c>
      <c r="AB363" s="128">
        <v>15.2</v>
      </c>
      <c r="AC363" s="40">
        <v>3.43</v>
      </c>
      <c r="AD363" s="40">
        <v>7.97</v>
      </c>
      <c r="AE363" s="128">
        <v>3.04</v>
      </c>
      <c r="AF363" s="40">
        <v>1.23</v>
      </c>
      <c r="AG363" s="41">
        <v>17</v>
      </c>
      <c r="AH363" s="40">
        <v>4.66</v>
      </c>
      <c r="AI363" s="41">
        <v>0.17199999999999999</v>
      </c>
      <c r="AJ363" s="40">
        <v>122</v>
      </c>
      <c r="AK363" s="40">
        <v>10.3</v>
      </c>
      <c r="AL363" s="40">
        <v>4.4400000000000004</v>
      </c>
      <c r="AM363" s="40">
        <v>3.23</v>
      </c>
      <c r="AN363" s="40">
        <v>8.3699999999999992</v>
      </c>
      <c r="AO363" s="130" t="s">
        <v>583</v>
      </c>
      <c r="AP363" s="39" t="s">
        <v>181</v>
      </c>
      <c r="AQ363" s="40">
        <f t="shared" si="88"/>
        <v>52.135287888339128</v>
      </c>
      <c r="AR363" s="41">
        <f t="shared" si="98"/>
        <v>7.8100000000000005</v>
      </c>
      <c r="AS363" s="37">
        <f t="shared" si="89"/>
        <v>161.92327902606408</v>
      </c>
      <c r="AT363" s="42">
        <f t="shared" si="90"/>
        <v>850</v>
      </c>
      <c r="AU363" s="31">
        <f t="shared" si="91"/>
        <v>532</v>
      </c>
      <c r="AV363" s="31">
        <f t="shared" si="92"/>
        <v>2.8964916536370615</v>
      </c>
      <c r="AW363" s="37">
        <f t="shared" si="93"/>
        <v>2426.225533762467</v>
      </c>
      <c r="AX363" s="31">
        <f t="shared" si="94"/>
        <v>52.135287888339128</v>
      </c>
      <c r="AY363" s="42">
        <f t="shared" si="95"/>
        <v>955.8241564318015</v>
      </c>
      <c r="AZ363" s="42">
        <f t="shared" si="99"/>
        <v>36878.628113189494</v>
      </c>
      <c r="BA363" s="42">
        <f t="shared" si="96"/>
        <v>943.95474782811345</v>
      </c>
      <c r="BB363" s="42">
        <f t="shared" si="97"/>
        <v>233</v>
      </c>
      <c r="BC363" s="38">
        <f t="shared" si="100"/>
        <v>7.5100000000000007</v>
      </c>
      <c r="BD363" s="38">
        <f t="shared" si="101"/>
        <v>32.652173913043477</v>
      </c>
      <c r="BE363" s="38">
        <f t="shared" si="102"/>
        <v>1.8722000000000003</v>
      </c>
      <c r="BH363" s="34">
        <v>35.4</v>
      </c>
      <c r="BI363" s="43">
        <v>1.39</v>
      </c>
    </row>
    <row r="364" spans="14:61">
      <c r="N364" s="30" t="s">
        <v>585</v>
      </c>
      <c r="O364" s="40">
        <v>4.4400000000000004</v>
      </c>
      <c r="P364" s="128">
        <v>8.11</v>
      </c>
      <c r="Q364" s="128">
        <v>0.245</v>
      </c>
      <c r="R364" s="128">
        <v>4.01</v>
      </c>
      <c r="S364" s="128">
        <v>0.315</v>
      </c>
      <c r="T364" s="40">
        <v>0.61499999999999999</v>
      </c>
      <c r="U364" s="132">
        <v>0.5625</v>
      </c>
      <c r="V364" s="40">
        <v>6.37</v>
      </c>
      <c r="W364" s="84" t="s">
        <v>127</v>
      </c>
      <c r="X364" s="35">
        <f t="shared" si="86"/>
        <v>30.530612244897959</v>
      </c>
      <c r="Y364" s="36">
        <f t="shared" si="87"/>
        <v>1.0612782107807386</v>
      </c>
      <c r="Z364" s="34">
        <v>6.41</v>
      </c>
      <c r="AA364" s="40">
        <v>48</v>
      </c>
      <c r="AB364" s="128">
        <v>11.8</v>
      </c>
      <c r="AC364" s="40">
        <v>3.29</v>
      </c>
      <c r="AD364" s="40">
        <v>3.41</v>
      </c>
      <c r="AE364" s="128">
        <v>1.7</v>
      </c>
      <c r="AF364" s="40">
        <v>0.876</v>
      </c>
      <c r="AG364" s="41">
        <v>13.6</v>
      </c>
      <c r="AH364" s="40">
        <v>2.67</v>
      </c>
      <c r="AI364" s="41">
        <v>0.13700000000000001</v>
      </c>
      <c r="AJ364" s="40">
        <v>51.8</v>
      </c>
      <c r="AK364" s="40">
        <v>7.82</v>
      </c>
      <c r="AL364" s="40">
        <v>2.4700000000000002</v>
      </c>
      <c r="AM364" s="40">
        <v>2.31</v>
      </c>
      <c r="AN364" s="40">
        <v>6.64</v>
      </c>
      <c r="AO364" s="130" t="s">
        <v>583</v>
      </c>
      <c r="AP364" s="39" t="s">
        <v>129</v>
      </c>
      <c r="AQ364" s="40">
        <f t="shared" si="88"/>
        <v>37.13049771559762</v>
      </c>
      <c r="AR364" s="41">
        <f t="shared" si="98"/>
        <v>7.794999999999999</v>
      </c>
      <c r="AS364" s="37">
        <f t="shared" si="89"/>
        <v>120.79868241936735</v>
      </c>
      <c r="AT364" s="42">
        <f t="shared" si="90"/>
        <v>680</v>
      </c>
      <c r="AU364" s="31">
        <f t="shared" si="91"/>
        <v>413</v>
      </c>
      <c r="AV364" s="31">
        <f t="shared" si="92"/>
        <v>3.1911771594582015</v>
      </c>
      <c r="AW364" s="37">
        <f t="shared" si="93"/>
        <v>1342.2707045825114</v>
      </c>
      <c r="AX364" s="31">
        <f t="shared" si="94"/>
        <v>37.13049771559762</v>
      </c>
      <c r="AY364" s="42">
        <f t="shared" si="95"/>
        <v>748.70763254178212</v>
      </c>
      <c r="AZ364" s="42">
        <f t="shared" si="99"/>
        <v>15838.794314073635</v>
      </c>
      <c r="BA364" s="42">
        <f t="shared" si="96"/>
        <v>758.88653355379336</v>
      </c>
      <c r="BB364" s="42">
        <f t="shared" si="97"/>
        <v>133.5</v>
      </c>
      <c r="BC364" s="38">
        <f t="shared" si="100"/>
        <v>7.4949999999999992</v>
      </c>
      <c r="BD364" s="38">
        <f t="shared" si="101"/>
        <v>30.591836734693874</v>
      </c>
      <c r="BE364" s="38">
        <f t="shared" si="102"/>
        <v>1.9869499999999998</v>
      </c>
      <c r="BH364" s="34">
        <v>33.1</v>
      </c>
      <c r="BI364" s="43">
        <v>1.03</v>
      </c>
    </row>
    <row r="365" spans="14:61">
      <c r="N365" s="30" t="s">
        <v>586</v>
      </c>
      <c r="O365" s="40">
        <v>3.84</v>
      </c>
      <c r="P365" s="128">
        <v>7.99</v>
      </c>
      <c r="Q365" s="128">
        <v>0.23</v>
      </c>
      <c r="R365" s="128">
        <v>4</v>
      </c>
      <c r="S365" s="128">
        <v>0.255</v>
      </c>
      <c r="T365" s="40">
        <v>0.55500000000000005</v>
      </c>
      <c r="U365" s="132">
        <v>0.5625</v>
      </c>
      <c r="V365" s="40">
        <v>7.84</v>
      </c>
      <c r="W365" s="84" t="s">
        <v>127</v>
      </c>
      <c r="X365" s="35">
        <f t="shared" si="86"/>
        <v>32.521739130434781</v>
      </c>
      <c r="Y365" s="36">
        <f t="shared" si="87"/>
        <v>1.0321900242765105</v>
      </c>
      <c r="Z365" s="34">
        <v>7.83</v>
      </c>
      <c r="AA365" s="40">
        <v>39.6</v>
      </c>
      <c r="AB365" s="128">
        <v>9.91</v>
      </c>
      <c r="AC365" s="40">
        <v>3.21</v>
      </c>
      <c r="AD365" s="40">
        <v>2.73</v>
      </c>
      <c r="AE365" s="128">
        <v>1.37</v>
      </c>
      <c r="AF365" s="40">
        <v>0.84299999999999997</v>
      </c>
      <c r="AG365" s="41">
        <v>11.4</v>
      </c>
      <c r="AH365" s="40">
        <v>2.15</v>
      </c>
      <c r="AI365" s="41">
        <v>8.7099999999999997E-2</v>
      </c>
      <c r="AJ365" s="40">
        <v>40.799999999999997</v>
      </c>
      <c r="AK365" s="40">
        <v>7.74</v>
      </c>
      <c r="AL365" s="40">
        <v>1.97</v>
      </c>
      <c r="AM365" s="40">
        <v>1.86</v>
      </c>
      <c r="AN365" s="40">
        <v>5.55</v>
      </c>
      <c r="AO365" s="130" t="s">
        <v>583</v>
      </c>
      <c r="AP365" s="39" t="s">
        <v>129</v>
      </c>
      <c r="AQ365" s="40">
        <f t="shared" si="88"/>
        <v>35.731746089325107</v>
      </c>
      <c r="AR365" s="41">
        <f t="shared" si="98"/>
        <v>7.7350000000000003</v>
      </c>
      <c r="AS365" s="37">
        <f t="shared" si="89"/>
        <v>111.54571131692443</v>
      </c>
      <c r="AT365" s="42">
        <f t="shared" si="90"/>
        <v>570</v>
      </c>
      <c r="AU365" s="31">
        <f t="shared" si="91"/>
        <v>346.85</v>
      </c>
      <c r="AV365" s="31">
        <f t="shared" si="92"/>
        <v>2.9433891147902189</v>
      </c>
      <c r="AW365" s="37">
        <f t="shared" si="93"/>
        <v>1266.6876751156142</v>
      </c>
      <c r="AX365" s="31">
        <f t="shared" si="94"/>
        <v>35.731746089325107</v>
      </c>
      <c r="AY365" s="42">
        <f t="shared" si="95"/>
        <v>629.25556230104007</v>
      </c>
      <c r="AZ365" s="42">
        <f t="shared" si="99"/>
        <v>12552.874860395737</v>
      </c>
      <c r="BA365" s="42">
        <f t="shared" si="96"/>
        <v>635.93082382969658</v>
      </c>
      <c r="BB365" s="42">
        <f t="shared" si="97"/>
        <v>107.5</v>
      </c>
      <c r="BC365" s="38">
        <f t="shared" si="100"/>
        <v>7.4350000000000005</v>
      </c>
      <c r="BD365" s="38">
        <f t="shared" si="101"/>
        <v>32.326086956521742</v>
      </c>
      <c r="BE365" s="38">
        <f t="shared" si="102"/>
        <v>1.8377000000000001</v>
      </c>
      <c r="BH365" s="34">
        <v>34.700000000000003</v>
      </c>
      <c r="BI365" s="43">
        <v>1.01</v>
      </c>
    </row>
    <row r="366" spans="14:61">
      <c r="N366" s="30" t="s">
        <v>587</v>
      </c>
      <c r="O366" s="40">
        <v>2.96</v>
      </c>
      <c r="P366" s="128">
        <v>7.89</v>
      </c>
      <c r="Q366" s="128">
        <v>0.17</v>
      </c>
      <c r="R366" s="128">
        <v>3.94</v>
      </c>
      <c r="S366" s="128">
        <v>0.20499999999999999</v>
      </c>
      <c r="T366" s="40">
        <v>0.505</v>
      </c>
      <c r="U366" s="132">
        <v>0.5</v>
      </c>
      <c r="V366" s="40">
        <v>9.61</v>
      </c>
      <c r="W366" s="34">
        <v>45.8</v>
      </c>
      <c r="X366" s="35">
        <f t="shared" si="86"/>
        <v>43.999999999999993</v>
      </c>
      <c r="Y366" s="36">
        <f t="shared" si="87"/>
        <v>1.0140387802679558</v>
      </c>
      <c r="Z366" s="34">
        <v>9.77</v>
      </c>
      <c r="AA366" s="40">
        <v>30.8</v>
      </c>
      <c r="AB366" s="128">
        <v>7.81</v>
      </c>
      <c r="AC366" s="40">
        <v>3.22</v>
      </c>
      <c r="AD366" s="40">
        <v>2.09</v>
      </c>
      <c r="AE366" s="128">
        <v>1.06</v>
      </c>
      <c r="AF366" s="40">
        <v>0.84099999999999997</v>
      </c>
      <c r="AG366" s="41">
        <v>8.8699999999999992</v>
      </c>
      <c r="AH366" s="40">
        <v>1.66</v>
      </c>
      <c r="AI366" s="41">
        <v>4.2599999999999999E-2</v>
      </c>
      <c r="AJ366" s="40">
        <v>30.9</v>
      </c>
      <c r="AK366" s="40">
        <v>7.57</v>
      </c>
      <c r="AL366" s="40">
        <v>1.53</v>
      </c>
      <c r="AM366" s="40">
        <v>1.48</v>
      </c>
      <c r="AN366" s="40">
        <v>4.29</v>
      </c>
      <c r="AO366" s="130" t="s">
        <v>583</v>
      </c>
      <c r="AP366" s="39" t="s">
        <v>129</v>
      </c>
      <c r="AQ366" s="40">
        <f t="shared" si="88"/>
        <v>35.646973263490409</v>
      </c>
      <c r="AR366" s="41">
        <f t="shared" si="98"/>
        <v>7.6849999999999996</v>
      </c>
      <c r="AS366" s="37">
        <f t="shared" si="89"/>
        <v>102.67097150715875</v>
      </c>
      <c r="AT366" s="42">
        <f t="shared" si="90"/>
        <v>443.49999999999994</v>
      </c>
      <c r="AU366" s="31">
        <f t="shared" si="91"/>
        <v>273.34999999999997</v>
      </c>
      <c r="AV366" s="31">
        <f t="shared" si="92"/>
        <v>2.5386429407182343</v>
      </c>
      <c r="AW366" s="37">
        <f t="shared" si="93"/>
        <v>1218.2428572152403</v>
      </c>
      <c r="AX366" s="31">
        <f t="shared" si="94"/>
        <v>35.646973263490409</v>
      </c>
      <c r="AY366" s="42">
        <f t="shared" si="95"/>
        <v>494.39210715812703</v>
      </c>
      <c r="AZ366" s="42">
        <f t="shared" si="99"/>
        <v>9514.4767148510255</v>
      </c>
      <c r="BA366" s="42">
        <f t="shared" si="96"/>
        <v>493.77169919167761</v>
      </c>
      <c r="BB366" s="42">
        <f t="shared" si="97"/>
        <v>83</v>
      </c>
      <c r="BC366" s="38">
        <f t="shared" si="100"/>
        <v>7.3849999999999998</v>
      </c>
      <c r="BD366" s="38">
        <f t="shared" si="101"/>
        <v>43.441176470588232</v>
      </c>
      <c r="BE366" s="38">
        <f t="shared" si="102"/>
        <v>1.3412999999999999</v>
      </c>
      <c r="BH366" s="34">
        <v>46.4</v>
      </c>
      <c r="BI366" s="43">
        <v>0.99</v>
      </c>
    </row>
    <row r="367" spans="14:61">
      <c r="N367" s="30" t="s">
        <v>588</v>
      </c>
      <c r="O367" s="40">
        <v>7.36</v>
      </c>
      <c r="P367" s="128">
        <v>6.38</v>
      </c>
      <c r="Q367" s="128">
        <v>0.32</v>
      </c>
      <c r="R367" s="128">
        <v>6.08</v>
      </c>
      <c r="S367" s="128">
        <v>0.45500000000000002</v>
      </c>
      <c r="T367" s="40">
        <v>0.754</v>
      </c>
      <c r="U367" s="132">
        <v>0.5625</v>
      </c>
      <c r="V367" s="40">
        <v>6.68</v>
      </c>
      <c r="W367" s="84" t="s">
        <v>127</v>
      </c>
      <c r="X367" s="35">
        <f t="shared" si="86"/>
        <v>17.09375</v>
      </c>
      <c r="Y367" s="36">
        <f t="shared" si="87"/>
        <v>1.7364912282284313</v>
      </c>
      <c r="Z367" s="34">
        <v>2.31</v>
      </c>
      <c r="AA367" s="40">
        <v>53.6</v>
      </c>
      <c r="AB367" s="128">
        <v>16.8</v>
      </c>
      <c r="AC367" s="40">
        <v>2.7</v>
      </c>
      <c r="AD367" s="40">
        <v>17.100000000000001</v>
      </c>
      <c r="AE367" s="128">
        <v>5.61</v>
      </c>
      <c r="AF367" s="40">
        <v>1.52</v>
      </c>
      <c r="AG367" s="41">
        <v>19</v>
      </c>
      <c r="AH367" s="40">
        <v>8.57</v>
      </c>
      <c r="AI367" s="41">
        <v>0.47</v>
      </c>
      <c r="AJ367" s="40">
        <v>150</v>
      </c>
      <c r="AK367" s="40">
        <v>9.01</v>
      </c>
      <c r="AL367" s="40">
        <v>6.23</v>
      </c>
      <c r="AM367" s="40">
        <v>3.88</v>
      </c>
      <c r="AN367" s="40">
        <v>9.39</v>
      </c>
      <c r="AO367" s="130" t="s">
        <v>589</v>
      </c>
      <c r="AP367" s="39" t="s">
        <v>204</v>
      </c>
      <c r="AQ367" s="40">
        <f t="shared" si="88"/>
        <v>64.427347634370307</v>
      </c>
      <c r="AR367" s="41">
        <f t="shared" si="98"/>
        <v>5.9249999999999998</v>
      </c>
      <c r="AS367" s="37">
        <f t="shared" si="89"/>
        <v>286.00049009771385</v>
      </c>
      <c r="AT367" s="42">
        <f t="shared" si="90"/>
        <v>950</v>
      </c>
      <c r="AU367" s="31">
        <f t="shared" si="91"/>
        <v>588</v>
      </c>
      <c r="AV367" s="31">
        <f t="shared" si="92"/>
        <v>1.6337720175624999</v>
      </c>
      <c r="AW367" s="37">
        <f t="shared" si="93"/>
        <v>3601.6670816720771</v>
      </c>
      <c r="AX367" s="31">
        <f t="shared" si="94"/>
        <v>64.427347634370307</v>
      </c>
      <c r="AY367" s="42">
        <f t="shared" si="95"/>
        <v>1029.7727542568307</v>
      </c>
      <c r="AZ367" s="42">
        <f t="shared" si="99"/>
        <v>60508.006972090894</v>
      </c>
      <c r="BA367" s="42">
        <f t="shared" si="96"/>
        <v>1056.9547758294875</v>
      </c>
      <c r="BB367" s="42">
        <f t="shared" si="97"/>
        <v>428.5</v>
      </c>
      <c r="BC367" s="38">
        <f t="shared" si="100"/>
        <v>5.6259999999999994</v>
      </c>
      <c r="BD367" s="38">
        <f t="shared" si="101"/>
        <v>17.581249999999997</v>
      </c>
      <c r="BE367" s="38">
        <f t="shared" si="102"/>
        <v>2.0415999999999999</v>
      </c>
      <c r="BH367" s="34">
        <v>19.899999999999999</v>
      </c>
      <c r="BI367" s="43">
        <v>1.66</v>
      </c>
    </row>
    <row r="368" spans="14:61">
      <c r="N368" s="30" t="s">
        <v>590</v>
      </c>
      <c r="O368" s="40">
        <v>5.89</v>
      </c>
      <c r="P368" s="128">
        <v>6.2</v>
      </c>
      <c r="Q368" s="128">
        <v>0.26</v>
      </c>
      <c r="R368" s="128">
        <v>6.02</v>
      </c>
      <c r="S368" s="128">
        <v>0.36499999999999999</v>
      </c>
      <c r="T368" s="40">
        <v>0.66400000000000003</v>
      </c>
      <c r="U368" s="132">
        <v>0.5625</v>
      </c>
      <c r="V368" s="40">
        <v>8.25</v>
      </c>
      <c r="W368" s="34">
        <v>62.1</v>
      </c>
      <c r="X368" s="35">
        <f t="shared" si="86"/>
        <v>21.03846153846154</v>
      </c>
      <c r="Y368" s="36">
        <f t="shared" si="87"/>
        <v>1.7016837579116453</v>
      </c>
      <c r="Z368" s="34">
        <v>2.82</v>
      </c>
      <c r="AA368" s="40">
        <v>41.5</v>
      </c>
      <c r="AB368" s="128">
        <v>13.4</v>
      </c>
      <c r="AC368" s="40">
        <v>2.66</v>
      </c>
      <c r="AD368" s="40">
        <v>13.3</v>
      </c>
      <c r="AE368" s="128">
        <v>4.41</v>
      </c>
      <c r="AF368" s="40">
        <v>1.5</v>
      </c>
      <c r="AG368" s="41">
        <v>15</v>
      </c>
      <c r="AH368" s="40">
        <v>6.72</v>
      </c>
      <c r="AI368" s="41">
        <v>0.246</v>
      </c>
      <c r="AJ368" s="40">
        <v>113</v>
      </c>
      <c r="AK368" s="40">
        <v>8.7799999999999994</v>
      </c>
      <c r="AL368" s="40">
        <v>4.82</v>
      </c>
      <c r="AM368" s="40">
        <v>3.07</v>
      </c>
      <c r="AN368" s="40">
        <v>7.38</v>
      </c>
      <c r="AO368" s="130" t="s">
        <v>589</v>
      </c>
      <c r="AP368" s="39" t="s">
        <v>204</v>
      </c>
      <c r="AQ368" s="40">
        <f t="shared" si="88"/>
        <v>63.579619376023324</v>
      </c>
      <c r="AR368" s="41">
        <f t="shared" si="98"/>
        <v>5.835</v>
      </c>
      <c r="AS368" s="37">
        <f t="shared" si="89"/>
        <v>239.52917402532842</v>
      </c>
      <c r="AT368" s="42">
        <f t="shared" si="90"/>
        <v>750</v>
      </c>
      <c r="AU368" s="31">
        <f t="shared" si="91"/>
        <v>469</v>
      </c>
      <c r="AV368" s="31">
        <f t="shared" si="92"/>
        <v>1.5970486572704137</v>
      </c>
      <c r="AW368" s="37">
        <f t="shared" si="93"/>
        <v>3443.4097522908683</v>
      </c>
      <c r="AX368" s="31">
        <f t="shared" si="94"/>
        <v>63.579619376023324</v>
      </c>
      <c r="AY368" s="42">
        <f t="shared" si="95"/>
        <v>826.6257867008236</v>
      </c>
      <c r="AZ368" s="42">
        <f t="shared" si="99"/>
        <v>46141.690680697633</v>
      </c>
      <c r="BA368" s="42">
        <f t="shared" si="96"/>
        <v>833.02290609968509</v>
      </c>
      <c r="BB368" s="42">
        <f t="shared" si="97"/>
        <v>336</v>
      </c>
      <c r="BC368" s="38">
        <f t="shared" si="100"/>
        <v>5.5360000000000005</v>
      </c>
      <c r="BD368" s="38">
        <f t="shared" si="101"/>
        <v>21.292307692307695</v>
      </c>
      <c r="BE368" s="38">
        <f t="shared" si="102"/>
        <v>1.6120000000000001</v>
      </c>
      <c r="BH368" s="34">
        <v>23.8</v>
      </c>
      <c r="BI368" s="43">
        <v>1.64</v>
      </c>
    </row>
    <row r="369" spans="14:61">
      <c r="N369" s="30" t="s">
        <v>591</v>
      </c>
      <c r="O369" s="40">
        <v>4.74</v>
      </c>
      <c r="P369" s="128">
        <v>6.28</v>
      </c>
      <c r="Q369" s="128">
        <v>0.26</v>
      </c>
      <c r="R369" s="128">
        <v>4.03</v>
      </c>
      <c r="S369" s="128">
        <v>0.40500000000000003</v>
      </c>
      <c r="T369" s="40">
        <v>0.65500000000000003</v>
      </c>
      <c r="U369" s="132">
        <v>0.5625</v>
      </c>
      <c r="V369" s="40">
        <v>4.9800000000000004</v>
      </c>
      <c r="W369" s="84" t="s">
        <v>127</v>
      </c>
      <c r="X369" s="35">
        <f t="shared" si="86"/>
        <v>21.03846153846154</v>
      </c>
      <c r="Y369" s="36">
        <f t="shared" si="87"/>
        <v>1.1295116505054079</v>
      </c>
      <c r="Z369" s="34">
        <v>3.85</v>
      </c>
      <c r="AA369" s="40">
        <v>32.1</v>
      </c>
      <c r="AB369" s="128">
        <v>10.199999999999999</v>
      </c>
      <c r="AC369" s="40">
        <v>2.6</v>
      </c>
      <c r="AD369" s="40">
        <v>4.43</v>
      </c>
      <c r="AE369" s="128">
        <v>2.2000000000000002</v>
      </c>
      <c r="AF369" s="40">
        <v>0.96699999999999997</v>
      </c>
      <c r="AG369" s="41">
        <v>11.7</v>
      </c>
      <c r="AH369" s="40">
        <v>3.39</v>
      </c>
      <c r="AI369" s="41">
        <v>0.223</v>
      </c>
      <c r="AJ369" s="40">
        <v>38.200000000000003</v>
      </c>
      <c r="AK369" s="40">
        <v>5.92</v>
      </c>
      <c r="AL369" s="40">
        <v>2.42</v>
      </c>
      <c r="AM369" s="40">
        <v>2.2400000000000002</v>
      </c>
      <c r="AN369" s="40">
        <v>5.77</v>
      </c>
      <c r="AO369" s="130" t="s">
        <v>589</v>
      </c>
      <c r="AP369" s="39" t="s">
        <v>129</v>
      </c>
      <c r="AQ369" s="40">
        <f t="shared" si="88"/>
        <v>40.987661291076364</v>
      </c>
      <c r="AR369" s="41">
        <f t="shared" si="98"/>
        <v>5.875</v>
      </c>
      <c r="AS369" s="37">
        <f t="shared" si="89"/>
        <v>169.13281207536329</v>
      </c>
      <c r="AT369" s="42">
        <f t="shared" si="90"/>
        <v>585</v>
      </c>
      <c r="AU369" s="31">
        <f t="shared" si="91"/>
        <v>357</v>
      </c>
      <c r="AV369" s="31">
        <f t="shared" si="92"/>
        <v>1.7792323673940942</v>
      </c>
      <c r="AW369" s="37">
        <f t="shared" si="93"/>
        <v>1542.7000113813533</v>
      </c>
      <c r="AX369" s="31">
        <f t="shared" si="94"/>
        <v>40.987661291076364</v>
      </c>
      <c r="AY369" s="42">
        <f t="shared" si="95"/>
        <v>630.17054870152117</v>
      </c>
      <c r="AZ369" s="42">
        <f t="shared" si="99"/>
        <v>15735.540116089802</v>
      </c>
      <c r="BA369" s="42">
        <f t="shared" si="96"/>
        <v>652.36378146166624</v>
      </c>
      <c r="BB369" s="42">
        <f t="shared" si="97"/>
        <v>169.5</v>
      </c>
      <c r="BC369" s="38">
        <f t="shared" si="100"/>
        <v>5.625</v>
      </c>
      <c r="BD369" s="38">
        <f t="shared" si="101"/>
        <v>21.634615384615383</v>
      </c>
      <c r="BE369" s="38">
        <f t="shared" si="102"/>
        <v>1.6328</v>
      </c>
      <c r="BH369" s="34">
        <v>24.2</v>
      </c>
      <c r="BI369" s="43">
        <v>1.08</v>
      </c>
    </row>
    <row r="370" spans="14:61">
      <c r="N370" s="30" t="s">
        <v>592</v>
      </c>
      <c r="O370" s="40">
        <v>4.45</v>
      </c>
      <c r="P370" s="128">
        <v>5.99</v>
      </c>
      <c r="Q370" s="128">
        <v>0.23</v>
      </c>
      <c r="R370" s="128">
        <v>5.99</v>
      </c>
      <c r="S370" s="128">
        <v>0.26</v>
      </c>
      <c r="T370" s="40">
        <v>0.55900000000000005</v>
      </c>
      <c r="U370" s="132">
        <v>0.5625</v>
      </c>
      <c r="V370" s="40">
        <v>11.5</v>
      </c>
      <c r="W370" s="34">
        <v>31.8</v>
      </c>
      <c r="X370" s="35">
        <f t="shared" si="86"/>
        <v>23.782608695652176</v>
      </c>
      <c r="Y370" s="36">
        <f t="shared" si="87"/>
        <v>1.6531908293106046</v>
      </c>
      <c r="Z370" s="34">
        <v>3.85</v>
      </c>
      <c r="AA370" s="40">
        <v>29.3</v>
      </c>
      <c r="AB370" s="128">
        <v>9.77</v>
      </c>
      <c r="AC370" s="40">
        <v>2.56</v>
      </c>
      <c r="AD370" s="40">
        <v>9.32</v>
      </c>
      <c r="AE370" s="128">
        <v>3.11</v>
      </c>
      <c r="AF370" s="40">
        <v>1.45</v>
      </c>
      <c r="AG370" s="41">
        <v>10.8</v>
      </c>
      <c r="AH370" s="40">
        <v>4.75</v>
      </c>
      <c r="AI370" s="41">
        <v>0.105</v>
      </c>
      <c r="AJ370" s="40">
        <v>76.5</v>
      </c>
      <c r="AK370" s="40">
        <v>8.58</v>
      </c>
      <c r="AL370" s="40">
        <v>3.34</v>
      </c>
      <c r="AM370" s="40">
        <v>2.15</v>
      </c>
      <c r="AN370" s="40">
        <v>5.32</v>
      </c>
      <c r="AO370" s="130" t="s">
        <v>589</v>
      </c>
      <c r="AP370" s="39" t="s">
        <v>204</v>
      </c>
      <c r="AQ370" s="40">
        <f t="shared" si="88"/>
        <v>61.460298730155877</v>
      </c>
      <c r="AR370" s="41">
        <f t="shared" si="98"/>
        <v>5.73</v>
      </c>
      <c r="AS370" s="37">
        <f t="shared" si="89"/>
        <v>198.65659083170084</v>
      </c>
      <c r="AT370" s="42">
        <f t="shared" si="90"/>
        <v>540</v>
      </c>
      <c r="AU370" s="31">
        <f t="shared" si="91"/>
        <v>341.95</v>
      </c>
      <c r="AV370" s="31">
        <f t="shared" si="92"/>
        <v>1.4435521322501526</v>
      </c>
      <c r="AW370" s="37">
        <f t="shared" si="93"/>
        <v>3237.8336069139332</v>
      </c>
      <c r="AX370" s="31">
        <f t="shared" si="94"/>
        <v>61.460298730155877</v>
      </c>
      <c r="AY370" s="42">
        <f t="shared" si="95"/>
        <v>606.20173201754551</v>
      </c>
      <c r="AZ370" s="42">
        <f t="shared" si="99"/>
        <v>31633.634339549128</v>
      </c>
      <c r="BA370" s="42">
        <f t="shared" si="96"/>
        <v>598.51489876527626</v>
      </c>
      <c r="BB370" s="42">
        <f t="shared" si="97"/>
        <v>237.5</v>
      </c>
      <c r="BC370" s="38">
        <f t="shared" si="100"/>
        <v>5.431</v>
      </c>
      <c r="BD370" s="38">
        <f t="shared" si="101"/>
        <v>23.61304347826087</v>
      </c>
      <c r="BE370" s="38">
        <f t="shared" si="102"/>
        <v>1.3777000000000001</v>
      </c>
      <c r="BH370" s="34">
        <v>26</v>
      </c>
      <c r="BI370" s="43">
        <v>1.61</v>
      </c>
    </row>
    <row r="371" spans="14:61">
      <c r="N371" s="30" t="s">
        <v>593</v>
      </c>
      <c r="O371" s="40">
        <v>3.55</v>
      </c>
      <c r="P371" s="128">
        <v>6.03</v>
      </c>
      <c r="Q371" s="128">
        <v>0.23</v>
      </c>
      <c r="R371" s="128">
        <v>4</v>
      </c>
      <c r="S371" s="128">
        <v>0.28000000000000003</v>
      </c>
      <c r="T371" s="40">
        <v>0.53</v>
      </c>
      <c r="U371" s="132">
        <v>0.5625</v>
      </c>
      <c r="V371" s="40">
        <v>7.14</v>
      </c>
      <c r="W371" s="84" t="s">
        <v>127</v>
      </c>
      <c r="X371" s="35">
        <f t="shared" si="86"/>
        <v>23.782608695652176</v>
      </c>
      <c r="Y371" s="36">
        <f t="shared" si="87"/>
        <v>1.084415783885158</v>
      </c>
      <c r="Z371" s="34">
        <v>5.38</v>
      </c>
      <c r="AA371" s="40">
        <v>22.1</v>
      </c>
      <c r="AB371" s="128">
        <v>7.31</v>
      </c>
      <c r="AC371" s="40">
        <v>2.4900000000000002</v>
      </c>
      <c r="AD371" s="40">
        <v>2.99</v>
      </c>
      <c r="AE371" s="128">
        <v>1.5</v>
      </c>
      <c r="AF371" s="40">
        <v>0.91800000000000004</v>
      </c>
      <c r="AG371" s="41">
        <v>8.3000000000000007</v>
      </c>
      <c r="AH371" s="40">
        <v>2.3199999999999998</v>
      </c>
      <c r="AI371" s="41">
        <v>9.0300000000000005E-2</v>
      </c>
      <c r="AJ371" s="40">
        <v>24.7</v>
      </c>
      <c r="AK371" s="40">
        <v>5.75</v>
      </c>
      <c r="AL371" s="40">
        <v>1.61</v>
      </c>
      <c r="AM371" s="40">
        <v>1.52</v>
      </c>
      <c r="AN371" s="40">
        <v>4.08</v>
      </c>
      <c r="AO371" s="130" t="s">
        <v>589</v>
      </c>
      <c r="AP371" s="39" t="s">
        <v>129</v>
      </c>
      <c r="AQ371" s="40">
        <f t="shared" si="88"/>
        <v>38.91072705812627</v>
      </c>
      <c r="AR371" s="41">
        <f t="shared" si="98"/>
        <v>5.75</v>
      </c>
      <c r="AS371" s="37">
        <f t="shared" si="89"/>
        <v>135.16481131801828</v>
      </c>
      <c r="AT371" s="42">
        <f t="shared" si="90"/>
        <v>415.00000000000006</v>
      </c>
      <c r="AU371" s="31">
        <f t="shared" si="91"/>
        <v>255.85</v>
      </c>
      <c r="AV371" s="31">
        <f t="shared" si="92"/>
        <v>1.6534363318057774</v>
      </c>
      <c r="AW371" s="37">
        <f t="shared" si="93"/>
        <v>1407.9666280634847</v>
      </c>
      <c r="AX371" s="31">
        <f t="shared" si="94"/>
        <v>38.91072705812627</v>
      </c>
      <c r="AY371" s="42">
        <f t="shared" si="95"/>
        <v>453.54280303871406</v>
      </c>
      <c r="AZ371" s="42">
        <f t="shared" si="99"/>
        <v>10292.236051144073</v>
      </c>
      <c r="BA371" s="42">
        <f t="shared" si="96"/>
        <v>462.02169219133418</v>
      </c>
      <c r="BB371" s="42">
        <f t="shared" si="97"/>
        <v>115.99999999999999</v>
      </c>
      <c r="BC371" s="38">
        <f t="shared" si="100"/>
        <v>5.5</v>
      </c>
      <c r="BD371" s="38">
        <f t="shared" si="101"/>
        <v>23.913043478260867</v>
      </c>
      <c r="BE371" s="38">
        <f t="shared" si="102"/>
        <v>1.3869</v>
      </c>
      <c r="BH371" s="34">
        <v>26.2</v>
      </c>
      <c r="BI371" s="43">
        <v>1.05</v>
      </c>
    </row>
    <row r="372" spans="14:61">
      <c r="N372" s="30" t="s">
        <v>594</v>
      </c>
      <c r="O372" s="40">
        <v>2.68</v>
      </c>
      <c r="P372" s="128">
        <v>5.9</v>
      </c>
      <c r="Q372" s="128">
        <v>0.17</v>
      </c>
      <c r="R372" s="128">
        <v>3.94</v>
      </c>
      <c r="S372" s="128">
        <v>0.215</v>
      </c>
      <c r="T372" s="40">
        <v>0.46500000000000002</v>
      </c>
      <c r="U372" s="132">
        <v>0.5</v>
      </c>
      <c r="V372" s="40">
        <v>9.16</v>
      </c>
      <c r="W372" s="34">
        <v>50.3</v>
      </c>
      <c r="X372" s="35">
        <f t="shared" si="86"/>
        <v>32.176470588235297</v>
      </c>
      <c r="Y372" s="36">
        <f t="shared" si="87"/>
        <v>1.0605329866757272</v>
      </c>
      <c r="Z372" s="34">
        <v>6.96</v>
      </c>
      <c r="AA372" s="40">
        <v>16.399999999999999</v>
      </c>
      <c r="AB372" s="128">
        <v>5.56</v>
      </c>
      <c r="AC372" s="40">
        <v>2.4700000000000002</v>
      </c>
      <c r="AD372" s="40">
        <v>2.2000000000000002</v>
      </c>
      <c r="AE372" s="128">
        <v>1.1100000000000001</v>
      </c>
      <c r="AF372" s="40">
        <v>0.90500000000000003</v>
      </c>
      <c r="AG372" s="41">
        <v>6.23</v>
      </c>
      <c r="AH372" s="40">
        <v>1.72</v>
      </c>
      <c r="AI372" s="41">
        <v>4.0500000000000001E-2</v>
      </c>
      <c r="AJ372" s="40">
        <v>17.8</v>
      </c>
      <c r="AK372" s="40">
        <v>5.6</v>
      </c>
      <c r="AL372" s="40">
        <v>1.19</v>
      </c>
      <c r="AM372" s="40">
        <v>1.1499999999999999</v>
      </c>
      <c r="AN372" s="40">
        <v>3.04</v>
      </c>
      <c r="AO372" s="130" t="s">
        <v>589</v>
      </c>
      <c r="AP372" s="39" t="s">
        <v>129</v>
      </c>
      <c r="AQ372" s="40">
        <f t="shared" si="88"/>
        <v>38.359703690200739</v>
      </c>
      <c r="AR372" s="41">
        <f t="shared" si="98"/>
        <v>5.6850000000000005</v>
      </c>
      <c r="AS372" s="37">
        <f t="shared" si="89"/>
        <v>117.10667430691898</v>
      </c>
      <c r="AT372" s="42">
        <f t="shared" si="90"/>
        <v>311.5</v>
      </c>
      <c r="AU372" s="31">
        <f t="shared" si="91"/>
        <v>194.6</v>
      </c>
      <c r="AV372" s="31">
        <f t="shared" si="92"/>
        <v>1.4845015507832342</v>
      </c>
      <c r="AW372" s="37">
        <f t="shared" si="93"/>
        <v>1338.1108305995594</v>
      </c>
      <c r="AX372" s="31">
        <f t="shared" si="94"/>
        <v>38.359703690200739</v>
      </c>
      <c r="AY372" s="42">
        <f t="shared" si="95"/>
        <v>345.28681542346987</v>
      </c>
      <c r="AZ372" s="42">
        <f t="shared" si="99"/>
        <v>7439.8962181335501</v>
      </c>
      <c r="BA372" s="42">
        <f t="shared" si="96"/>
        <v>346.03871075819643</v>
      </c>
      <c r="BB372" s="42">
        <f t="shared" si="97"/>
        <v>86</v>
      </c>
      <c r="BC372" s="38">
        <f t="shared" si="100"/>
        <v>5.4350000000000005</v>
      </c>
      <c r="BD372" s="38">
        <f t="shared" si="101"/>
        <v>31.97058823529412</v>
      </c>
      <c r="BE372" s="38">
        <f t="shared" si="102"/>
        <v>1.0030000000000001</v>
      </c>
      <c r="BH372" s="34">
        <v>34.700000000000003</v>
      </c>
      <c r="BI372" s="43">
        <v>1.03</v>
      </c>
    </row>
    <row r="373" spans="14:61">
      <c r="N373" s="156" t="s">
        <v>595</v>
      </c>
      <c r="O373" s="136">
        <v>2.5099999999999998</v>
      </c>
      <c r="P373" s="137">
        <v>5.83</v>
      </c>
      <c r="Q373" s="137">
        <v>0.17</v>
      </c>
      <c r="R373" s="137">
        <v>3.94</v>
      </c>
      <c r="S373" s="137">
        <v>0.19400000000000001</v>
      </c>
      <c r="T373" s="136">
        <v>0.44400000000000001</v>
      </c>
      <c r="U373" s="136">
        <v>0.5</v>
      </c>
      <c r="V373" s="136">
        <v>10.199999999999999</v>
      </c>
      <c r="W373" s="136">
        <v>40.97</v>
      </c>
      <c r="X373" s="35">
        <f t="shared" si="86"/>
        <v>32.011764705882349</v>
      </c>
      <c r="Y373" s="36">
        <f t="shared" si="87"/>
        <v>1.0480240124675873</v>
      </c>
      <c r="Z373" s="136">
        <v>7.63</v>
      </c>
      <c r="AA373" s="136">
        <v>14.8</v>
      </c>
      <c r="AB373" s="137">
        <v>5.08</v>
      </c>
      <c r="AC373" s="136">
        <v>2.4300000000000002</v>
      </c>
      <c r="AD373" s="136">
        <v>1.98</v>
      </c>
      <c r="AE373" s="137">
        <v>1.01</v>
      </c>
      <c r="AF373" s="136">
        <v>0.88900000000000001</v>
      </c>
      <c r="AG373" s="138">
        <v>5.71</v>
      </c>
      <c r="AH373" s="136">
        <v>1.55</v>
      </c>
      <c r="AI373" s="138">
        <v>3.3000000000000002E-2</v>
      </c>
      <c r="AJ373" s="136">
        <v>15.7</v>
      </c>
      <c r="AK373" s="136">
        <v>5.55</v>
      </c>
      <c r="AL373" s="136">
        <v>1.06</v>
      </c>
      <c r="AM373" s="136">
        <v>1.03</v>
      </c>
      <c r="AN373" s="136">
        <v>2.78</v>
      </c>
      <c r="AO373" s="165" t="s">
        <v>589</v>
      </c>
      <c r="AP373" s="140" t="s">
        <v>129</v>
      </c>
      <c r="AQ373" s="40">
        <f t="shared" si="88"/>
        <v>37.681521083523158</v>
      </c>
      <c r="AR373" s="41">
        <f t="shared" si="98"/>
        <v>5.6360000000000001</v>
      </c>
      <c r="AS373" s="37">
        <f t="shared" si="89"/>
        <v>113.53395230726601</v>
      </c>
      <c r="AT373" s="42">
        <f t="shared" si="90"/>
        <v>285.5</v>
      </c>
      <c r="AU373" s="31">
        <f t="shared" si="91"/>
        <v>177.8</v>
      </c>
      <c r="AV373" s="31">
        <f t="shared" si="92"/>
        <v>1.4198622016783611</v>
      </c>
      <c r="AW373" s="37">
        <f t="shared" si="93"/>
        <v>1305.6402144386072</v>
      </c>
      <c r="AX373" s="31">
        <f t="shared" si="94"/>
        <v>37.681521083523158</v>
      </c>
      <c r="AY373" s="42">
        <f t="shared" si="95"/>
        <v>316.85271714205834</v>
      </c>
      <c r="AZ373" s="42">
        <f t="shared" si="99"/>
        <v>6632.6522893481251</v>
      </c>
      <c r="BA373" s="42">
        <f t="shared" si="96"/>
        <v>317.32052308518183</v>
      </c>
      <c r="BB373" s="42">
        <f t="shared" si="97"/>
        <v>77.5</v>
      </c>
      <c r="BC373" s="38">
        <f t="shared" si="100"/>
        <v>5.3860000000000001</v>
      </c>
      <c r="BD373" s="38">
        <f t="shared" si="101"/>
        <v>31.682352941176468</v>
      </c>
      <c r="BE373" s="38">
        <f t="shared" si="102"/>
        <v>0.99110000000000009</v>
      </c>
      <c r="BH373" s="136">
        <v>34.29</v>
      </c>
      <c r="BI373" s="138">
        <v>1.038</v>
      </c>
    </row>
    <row r="374" spans="14:61">
      <c r="N374" s="30" t="s">
        <v>596</v>
      </c>
      <c r="O374" s="40">
        <v>5.56</v>
      </c>
      <c r="P374" s="128">
        <v>5.15</v>
      </c>
      <c r="Q374" s="128">
        <v>0.27</v>
      </c>
      <c r="R374" s="128">
        <v>5.03</v>
      </c>
      <c r="S374" s="128">
        <v>0.43</v>
      </c>
      <c r="T374" s="40">
        <v>0.73</v>
      </c>
      <c r="U374" s="132">
        <v>0.4375</v>
      </c>
      <c r="V374" s="40">
        <v>5.85</v>
      </c>
      <c r="W374" s="84" t="s">
        <v>127</v>
      </c>
      <c r="X374" s="35">
        <f t="shared" si="86"/>
        <v>15.888888888888888</v>
      </c>
      <c r="Y374" s="36">
        <f t="shared" si="87"/>
        <v>1.4534205766222728</v>
      </c>
      <c r="Z374" s="34">
        <v>2.38</v>
      </c>
      <c r="AA374" s="40">
        <v>26.3</v>
      </c>
      <c r="AB374" s="128">
        <v>10.199999999999999</v>
      </c>
      <c r="AC374" s="40">
        <v>2.17</v>
      </c>
      <c r="AD374" s="40">
        <v>9.1300000000000008</v>
      </c>
      <c r="AE374" s="128">
        <v>3.63</v>
      </c>
      <c r="AF374" s="40">
        <v>1.28</v>
      </c>
      <c r="AG374" s="41">
        <v>11.6</v>
      </c>
      <c r="AH374" s="40">
        <v>5.53</v>
      </c>
      <c r="AI374" s="41">
        <v>0.316</v>
      </c>
      <c r="AJ374" s="40">
        <v>50.9</v>
      </c>
      <c r="AK374" s="40">
        <v>5.94</v>
      </c>
      <c r="AL374" s="40">
        <v>3.21</v>
      </c>
      <c r="AM374" s="40">
        <v>2.42</v>
      </c>
      <c r="AN374" s="40">
        <v>5.73</v>
      </c>
      <c r="AO374" s="130" t="s">
        <v>204</v>
      </c>
      <c r="AP374" s="39" t="s">
        <v>181</v>
      </c>
      <c r="AQ374" s="40">
        <f t="shared" si="88"/>
        <v>54.254608534206568</v>
      </c>
      <c r="AR374" s="41">
        <f t="shared" si="98"/>
        <v>4.7200000000000006</v>
      </c>
      <c r="AS374" s="37">
        <f t="shared" si="89"/>
        <v>276.25184547082614</v>
      </c>
      <c r="AT374" s="42">
        <f t="shared" si="90"/>
        <v>580</v>
      </c>
      <c r="AU374" s="31">
        <f t="shared" si="91"/>
        <v>357</v>
      </c>
      <c r="AV374" s="31">
        <f t="shared" si="92"/>
        <v>1.0045170069556619</v>
      </c>
      <c r="AW374" s="37">
        <f t="shared" si="93"/>
        <v>2558.7308643665597</v>
      </c>
      <c r="AX374" s="31">
        <f t="shared" si="94"/>
        <v>54.254608534206568</v>
      </c>
      <c r="AY374" s="42">
        <f t="shared" si="95"/>
        <v>618.82921166982396</v>
      </c>
      <c r="AZ374" s="42">
        <f t="shared" si="99"/>
        <v>26099.054816538908</v>
      </c>
      <c r="BA374" s="42">
        <f t="shared" si="96"/>
        <v>645.88650555241918</v>
      </c>
      <c r="BB374" s="42">
        <f t="shared" si="97"/>
        <v>276.5</v>
      </c>
      <c r="BC374" s="38">
        <f t="shared" si="100"/>
        <v>4.42</v>
      </c>
      <c r="BD374" s="38">
        <f t="shared" si="101"/>
        <v>16.37037037037037</v>
      </c>
      <c r="BE374" s="38">
        <f t="shared" si="102"/>
        <v>1.3905000000000003</v>
      </c>
      <c r="BH374" s="34">
        <v>19.100000000000001</v>
      </c>
      <c r="BI374" s="43">
        <v>1.38</v>
      </c>
    </row>
    <row r="375" spans="14:61">
      <c r="N375" s="30" t="s">
        <v>597</v>
      </c>
      <c r="O375" s="40">
        <v>4.71</v>
      </c>
      <c r="P375" s="128">
        <v>5.01</v>
      </c>
      <c r="Q375" s="128">
        <v>0.24</v>
      </c>
      <c r="R375" s="128">
        <v>5</v>
      </c>
      <c r="S375" s="128">
        <v>0.36</v>
      </c>
      <c r="T375" s="40">
        <v>0.66</v>
      </c>
      <c r="U375" s="132">
        <v>0.4375</v>
      </c>
      <c r="V375" s="40">
        <v>6.94</v>
      </c>
      <c r="W375" s="84" t="s">
        <v>127</v>
      </c>
      <c r="X375" s="35">
        <f t="shared" si="86"/>
        <v>17.875</v>
      </c>
      <c r="Y375" s="36">
        <f t="shared" si="87"/>
        <v>1.4290531769168493</v>
      </c>
      <c r="Z375" s="34">
        <v>2.78</v>
      </c>
      <c r="AA375" s="40">
        <v>21.4</v>
      </c>
      <c r="AB375" s="128">
        <v>8.5500000000000007</v>
      </c>
      <c r="AC375" s="40">
        <v>2.13</v>
      </c>
      <c r="AD375" s="40">
        <v>7.51</v>
      </c>
      <c r="AE375" s="128">
        <v>3</v>
      </c>
      <c r="AF375" s="40">
        <v>1.26</v>
      </c>
      <c r="AG375" s="41">
        <v>9.6300000000000008</v>
      </c>
      <c r="AH375" s="40">
        <v>4.58</v>
      </c>
      <c r="AI375" s="41">
        <v>0.192</v>
      </c>
      <c r="AJ375" s="40">
        <v>40.6</v>
      </c>
      <c r="AK375" s="40">
        <v>5.81</v>
      </c>
      <c r="AL375" s="40">
        <v>2.62</v>
      </c>
      <c r="AM375" s="40">
        <v>1.99</v>
      </c>
      <c r="AN375" s="40">
        <v>4.74</v>
      </c>
      <c r="AO375" s="130" t="s">
        <v>204</v>
      </c>
      <c r="AP375" s="39" t="s">
        <v>181</v>
      </c>
      <c r="AQ375" s="40">
        <f t="shared" si="88"/>
        <v>53.406880275859592</v>
      </c>
      <c r="AR375" s="41">
        <f t="shared" si="98"/>
        <v>4.6499999999999995</v>
      </c>
      <c r="AS375" s="37">
        <f t="shared" si="89"/>
        <v>237.59099510591182</v>
      </c>
      <c r="AT375" s="42">
        <f t="shared" si="90"/>
        <v>481.50000000000006</v>
      </c>
      <c r="AU375" s="31">
        <f t="shared" si="91"/>
        <v>299.25</v>
      </c>
      <c r="AV375" s="31">
        <f t="shared" si="92"/>
        <v>0.98949901389793138</v>
      </c>
      <c r="AW375" s="37">
        <f t="shared" si="93"/>
        <v>2457.1389145140065</v>
      </c>
      <c r="AX375" s="31">
        <f t="shared" si="94"/>
        <v>53.406880275859592</v>
      </c>
      <c r="AY375" s="42">
        <f t="shared" si="95"/>
        <v>518.90987075152032</v>
      </c>
      <c r="AZ375" s="42">
        <f t="shared" si="99"/>
        <v>21008.537719094758</v>
      </c>
      <c r="BA375" s="42">
        <f t="shared" si="96"/>
        <v>535.34670689205564</v>
      </c>
      <c r="BB375" s="42">
        <f t="shared" si="97"/>
        <v>229</v>
      </c>
      <c r="BC375" s="38">
        <f t="shared" si="100"/>
        <v>4.3499999999999996</v>
      </c>
      <c r="BD375" s="38">
        <f t="shared" si="101"/>
        <v>18.125</v>
      </c>
      <c r="BE375" s="38">
        <f t="shared" si="102"/>
        <v>1.2023999999999999</v>
      </c>
      <c r="BH375" s="34">
        <v>20.9</v>
      </c>
      <c r="BI375" s="43">
        <v>1.37</v>
      </c>
    </row>
    <row r="376" spans="14:61">
      <c r="N376" s="30" t="s">
        <v>598</v>
      </c>
      <c r="O376" s="40">
        <v>3.83</v>
      </c>
      <c r="P376" s="128">
        <v>4.16</v>
      </c>
      <c r="Q376" s="128">
        <v>0.28000000000000003</v>
      </c>
      <c r="R376" s="128">
        <v>4.0599999999999996</v>
      </c>
      <c r="S376" s="128">
        <v>0.34499999999999997</v>
      </c>
      <c r="T376" s="40">
        <v>0.59499999999999997</v>
      </c>
      <c r="U376" s="132">
        <v>0.5</v>
      </c>
      <c r="V376" s="40">
        <v>5.88</v>
      </c>
      <c r="W376" s="84" t="s">
        <v>127</v>
      </c>
      <c r="X376" s="35">
        <f t="shared" si="86"/>
        <v>12.392857142857142</v>
      </c>
      <c r="Y376" s="36">
        <f t="shared" si="87"/>
        <v>1.1612603674566877</v>
      </c>
      <c r="Z376" s="34">
        <v>2.97</v>
      </c>
      <c r="AA376" s="40">
        <v>11.3</v>
      </c>
      <c r="AB376" s="128">
        <v>5.46</v>
      </c>
      <c r="AC376" s="40">
        <v>1.72</v>
      </c>
      <c r="AD376" s="40">
        <v>3.86</v>
      </c>
      <c r="AE376" s="128">
        <v>1.9</v>
      </c>
      <c r="AF376" s="40">
        <v>1</v>
      </c>
      <c r="AG376" s="41">
        <v>6.28</v>
      </c>
      <c r="AH376" s="40">
        <v>2.92</v>
      </c>
      <c r="AI376" s="41">
        <v>0.151</v>
      </c>
      <c r="AJ376" s="40">
        <v>14</v>
      </c>
      <c r="AK376" s="40">
        <v>3.87</v>
      </c>
      <c r="AL376" s="40">
        <v>1.36</v>
      </c>
      <c r="AM376" s="40">
        <v>1.24</v>
      </c>
      <c r="AN376" s="40">
        <v>3.09</v>
      </c>
      <c r="AO376" s="130" t="s">
        <v>599</v>
      </c>
      <c r="AP376" s="39" t="s">
        <v>129</v>
      </c>
      <c r="AQ376" s="40">
        <f t="shared" si="88"/>
        <v>42.386412917348885</v>
      </c>
      <c r="AR376" s="41">
        <f t="shared" si="98"/>
        <v>3.8150000000000004</v>
      </c>
      <c r="AS376" s="37">
        <f t="shared" si="89"/>
        <v>230.92850390715915</v>
      </c>
      <c r="AT376" s="42">
        <f t="shared" si="90"/>
        <v>314</v>
      </c>
      <c r="AU376" s="31">
        <f t="shared" si="91"/>
        <v>191.1</v>
      </c>
      <c r="AV376" s="31">
        <f t="shared" si="92"/>
        <v>0.65184383685785108</v>
      </c>
      <c r="AW376" s="37">
        <f t="shared" si="93"/>
        <v>1666.3113449477053</v>
      </c>
      <c r="AX376" s="31">
        <f t="shared" si="94"/>
        <v>42.386412917348885</v>
      </c>
      <c r="AY376" s="42">
        <f t="shared" si="95"/>
        <v>331.46055817170338</v>
      </c>
      <c r="AZ376" s="42">
        <f t="shared" si="99"/>
        <v>9098.0599434144715</v>
      </c>
      <c r="BA376" s="42">
        <f t="shared" si="96"/>
        <v>350.31144184929292</v>
      </c>
      <c r="BB376" s="42">
        <f t="shared" si="97"/>
        <v>146</v>
      </c>
      <c r="BC376" s="38">
        <f t="shared" si="100"/>
        <v>3.5650000000000004</v>
      </c>
      <c r="BD376" s="38">
        <f t="shared" si="101"/>
        <v>12.732142857142858</v>
      </c>
      <c r="BE376" s="38">
        <f t="shared" si="102"/>
        <v>1.1648000000000001</v>
      </c>
      <c r="BH376" s="34">
        <v>14.9</v>
      </c>
      <c r="BI376" s="43">
        <v>1.1000000000000001</v>
      </c>
    </row>
    <row r="377" spans="14:61">
      <c r="N377" s="5">
        <v>1</v>
      </c>
      <c r="O377" s="5">
        <v>2</v>
      </c>
      <c r="P377" s="5">
        <v>3</v>
      </c>
      <c r="Q377" s="5">
        <v>4</v>
      </c>
      <c r="R377" s="5">
        <v>5</v>
      </c>
      <c r="S377" s="5">
        <v>6</v>
      </c>
      <c r="T377" s="5">
        <v>7</v>
      </c>
      <c r="U377" s="5">
        <v>8</v>
      </c>
      <c r="V377" s="5">
        <v>9</v>
      </c>
      <c r="W377" s="5">
        <v>10</v>
      </c>
      <c r="X377" s="5">
        <v>11</v>
      </c>
      <c r="Y377" s="5">
        <v>12</v>
      </c>
      <c r="Z377" s="5">
        <v>13</v>
      </c>
      <c r="AA377" s="5">
        <v>14</v>
      </c>
      <c r="AB377" s="5">
        <v>15</v>
      </c>
      <c r="AC377" s="5">
        <v>16</v>
      </c>
      <c r="AD377" s="5">
        <v>17</v>
      </c>
      <c r="AE377" s="5">
        <v>18</v>
      </c>
      <c r="AF377" s="5">
        <v>19</v>
      </c>
      <c r="AG377" s="5">
        <v>20</v>
      </c>
      <c r="AH377" s="5">
        <v>21</v>
      </c>
      <c r="AI377" s="5">
        <v>22</v>
      </c>
      <c r="AJ377" s="5">
        <v>23</v>
      </c>
      <c r="AK377" s="5">
        <v>24</v>
      </c>
      <c r="AL377" s="5">
        <v>25</v>
      </c>
      <c r="AM377" s="5">
        <v>26</v>
      </c>
      <c r="AN377" s="5">
        <v>27</v>
      </c>
      <c r="AO377" s="5">
        <v>28</v>
      </c>
      <c r="AP377" s="5">
        <v>29</v>
      </c>
      <c r="AQ377" s="5">
        <v>30</v>
      </c>
      <c r="AR377" s="5">
        <v>31</v>
      </c>
      <c r="AS377" s="5">
        <v>32</v>
      </c>
      <c r="AT377" s="5">
        <v>33</v>
      </c>
      <c r="AU377" s="5">
        <v>34</v>
      </c>
      <c r="AV377" s="5">
        <v>35</v>
      </c>
      <c r="AW377" s="5">
        <v>36</v>
      </c>
      <c r="AX377" s="5">
        <v>37</v>
      </c>
      <c r="AY377" s="5">
        <v>38</v>
      </c>
      <c r="AZ377" s="5">
        <v>39</v>
      </c>
      <c r="BA377" s="5">
        <v>40</v>
      </c>
      <c r="BB377" s="5">
        <v>41</v>
      </c>
      <c r="BC377" s="5">
        <v>42</v>
      </c>
      <c r="BD377" s="5">
        <v>43</v>
      </c>
      <c r="BE377" s="5">
        <v>44</v>
      </c>
    </row>
    <row r="772" spans="21:21">
      <c r="U772" s="5" t="s">
        <v>600</v>
      </c>
    </row>
    <row r="773" spans="21:21">
      <c r="U773" s="5" t="s">
        <v>601</v>
      </c>
    </row>
    <row r="774" spans="21:21">
      <c r="U774" s="5">
        <f>(IF(B84&lt;0.15,B86,(MAX(B86,#REF!,B96))))</f>
        <v>0</v>
      </c>
    </row>
  </sheetData>
  <mergeCells count="23">
    <mergeCell ref="C38:F38"/>
    <mergeCell ref="C41:D41"/>
    <mergeCell ref="A43:B43"/>
    <mergeCell ref="E44:F44"/>
    <mergeCell ref="C28:D28"/>
    <mergeCell ref="A30:B30"/>
    <mergeCell ref="C31:D31"/>
    <mergeCell ref="C32:D32"/>
    <mergeCell ref="C34:F34"/>
    <mergeCell ref="C37:D37"/>
    <mergeCell ref="C27:D27"/>
    <mergeCell ref="I27:J27"/>
    <mergeCell ref="A1:H1"/>
    <mergeCell ref="K4:L4"/>
    <mergeCell ref="A9:B9"/>
    <mergeCell ref="A14:B14"/>
    <mergeCell ref="G17:H17"/>
    <mergeCell ref="C23:D23"/>
    <mergeCell ref="C24:D24"/>
    <mergeCell ref="C25:D25"/>
    <mergeCell ref="I25:J25"/>
    <mergeCell ref="C26:D26"/>
    <mergeCell ref="I26:J26"/>
  </mergeCells>
  <conditionalFormatting sqref="E44">
    <cfRule type="containsText" dxfId="1" priority="2" operator="containsText" text="UNSAFE">
      <formula>NOT(ISERROR(SEARCH("UNSAFE",E44)))</formula>
    </cfRule>
  </conditionalFormatting>
  <conditionalFormatting sqref="E44 C41">
    <cfRule type="containsText" dxfId="0" priority="1" operator="containsText" text="unsafe">
      <formula>NOT(ISERROR(SEARCH("unsafe",C41)))</formula>
    </cfRule>
  </conditionalFormatting>
  <dataValidations count="1">
    <dataValidation type="list" allowBlank="1" showInputMessage="1" showErrorMessage="1" sqref="B2">
      <formula1>$N$2:$N$376</formula1>
    </dataValidation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E3:H11"/>
  <sheetViews>
    <sheetView workbookViewId="0">
      <selection activeCell="E17" sqref="E17"/>
    </sheetView>
  </sheetViews>
  <sheetFormatPr defaultRowHeight="15"/>
  <cols>
    <col min="5" max="5" width="16.140625" customWidth="1"/>
  </cols>
  <sheetData>
    <row r="3" spans="5:8">
      <c r="E3" s="167">
        <v>43417</v>
      </c>
      <c r="H3" t="s">
        <v>603</v>
      </c>
    </row>
    <row r="4" spans="5:8">
      <c r="E4" t="s">
        <v>604</v>
      </c>
      <c r="H4">
        <f>2+3</f>
        <v>5</v>
      </c>
    </row>
    <row r="5" spans="5:8" ht="30">
      <c r="E5" s="168" t="s">
        <v>605</v>
      </c>
    </row>
    <row r="6" spans="5:8">
      <c r="H6">
        <f>PI()</f>
        <v>3.1415926535897931</v>
      </c>
    </row>
    <row r="7" spans="5:8">
      <c r="E7" s="169">
        <v>0.3215277777777778</v>
      </c>
    </row>
    <row r="9" spans="5:8" ht="18">
      <c r="E9" s="170" t="s">
        <v>606</v>
      </c>
    </row>
    <row r="10" spans="5:8" ht="18">
      <c r="E10" s="170" t="s">
        <v>607</v>
      </c>
    </row>
    <row r="11" spans="5:8" ht="18">
      <c r="E11" s="170" t="s">
        <v>608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D4:E244"/>
  <sheetViews>
    <sheetView tabSelected="1" topLeftCell="A19" workbookViewId="0">
      <selection activeCell="C41" sqref="C41"/>
    </sheetView>
  </sheetViews>
  <sheetFormatPr defaultRowHeight="15"/>
  <cols>
    <col min="4" max="4" width="10" bestFit="1" customWidth="1"/>
  </cols>
  <sheetData>
    <row r="4" spans="4:5">
      <c r="D4" t="s">
        <v>16</v>
      </c>
      <c r="E4" t="s">
        <v>15</v>
      </c>
    </row>
    <row r="5" spans="4:5">
      <c r="D5">
        <v>200801678</v>
      </c>
      <c r="E5">
        <v>0.57399999999999995</v>
      </c>
    </row>
    <row r="6" spans="4:5">
      <c r="D6">
        <v>200808400</v>
      </c>
      <c r="E6">
        <v>0.67700000000000005</v>
      </c>
    </row>
    <row r="7" spans="4:5">
      <c r="D7">
        <v>200808797</v>
      </c>
      <c r="E7">
        <v>0.42899999999999999</v>
      </c>
    </row>
    <row r="8" spans="4:5">
      <c r="D8">
        <v>200809370</v>
      </c>
      <c r="E8">
        <v>0.53500000000000003</v>
      </c>
    </row>
    <row r="9" spans="4:5">
      <c r="D9">
        <v>200811223</v>
      </c>
      <c r="E9">
        <v>0.33500000000000002</v>
      </c>
    </row>
    <row r="10" spans="4:5">
      <c r="D10">
        <v>200813377</v>
      </c>
      <c r="E10">
        <v>1.1479999999999999</v>
      </c>
    </row>
    <row r="11" spans="4:5">
      <c r="D11">
        <v>200900718</v>
      </c>
      <c r="E11">
        <v>1.3959999999999999</v>
      </c>
    </row>
    <row r="12" spans="4:5">
      <c r="D12">
        <v>200900813</v>
      </c>
      <c r="E12">
        <v>0.92400000000000004</v>
      </c>
    </row>
    <row r="13" spans="4:5">
      <c r="D13">
        <v>200901611</v>
      </c>
      <c r="E13">
        <v>1.0409999999999999</v>
      </c>
    </row>
    <row r="14" spans="4:5">
      <c r="D14">
        <v>200904526</v>
      </c>
      <c r="E14">
        <v>1.456</v>
      </c>
    </row>
    <row r="15" spans="4:5">
      <c r="D15">
        <v>200904932</v>
      </c>
      <c r="E15">
        <v>0</v>
      </c>
    </row>
    <row r="16" spans="4:5">
      <c r="D16">
        <v>200905678</v>
      </c>
      <c r="E16">
        <v>1.0629999999999999</v>
      </c>
    </row>
    <row r="17" spans="4:5">
      <c r="D17">
        <v>200906384</v>
      </c>
      <c r="E17">
        <v>1.7989999999999999</v>
      </c>
    </row>
    <row r="18" spans="4:5">
      <c r="D18">
        <v>200906711</v>
      </c>
      <c r="E18">
        <v>0.81599999999999995</v>
      </c>
    </row>
    <row r="19" spans="4:5">
      <c r="D19">
        <v>200906949</v>
      </c>
      <c r="E19">
        <v>1.2190000000000001</v>
      </c>
    </row>
    <row r="20" spans="4:5">
      <c r="D20">
        <v>200907577</v>
      </c>
      <c r="E20">
        <v>0.74299999999999999</v>
      </c>
    </row>
    <row r="21" spans="4:5">
      <c r="D21">
        <v>200908708</v>
      </c>
      <c r="E21">
        <v>1.276</v>
      </c>
    </row>
    <row r="22" spans="4:5">
      <c r="D22">
        <v>200911028</v>
      </c>
      <c r="E22">
        <v>1.0449999999999999</v>
      </c>
    </row>
    <row r="23" spans="4:5">
      <c r="D23">
        <v>200911302</v>
      </c>
      <c r="E23">
        <v>1.6539999999999999</v>
      </c>
    </row>
    <row r="24" spans="4:5">
      <c r="D24">
        <v>200914293</v>
      </c>
      <c r="E24">
        <v>1.304</v>
      </c>
    </row>
    <row r="25" spans="4:5">
      <c r="D25">
        <v>201000323</v>
      </c>
      <c r="E25">
        <v>0.68400000000000005</v>
      </c>
    </row>
    <row r="26" spans="4:5">
      <c r="D26">
        <v>201000354</v>
      </c>
      <c r="E26">
        <v>1.536</v>
      </c>
    </row>
    <row r="27" spans="4:5">
      <c r="D27">
        <v>201002026</v>
      </c>
      <c r="E27">
        <v>1.41</v>
      </c>
    </row>
    <row r="28" spans="4:5">
      <c r="D28">
        <v>201002646</v>
      </c>
      <c r="E28">
        <v>1.3160000000000001</v>
      </c>
    </row>
    <row r="29" spans="4:5">
      <c r="D29">
        <v>201002688</v>
      </c>
      <c r="E29">
        <v>1.3</v>
      </c>
    </row>
    <row r="30" spans="4:5">
      <c r="D30">
        <v>201004846</v>
      </c>
      <c r="E30">
        <v>2.3029999999999999</v>
      </c>
    </row>
    <row r="31" spans="4:5">
      <c r="D31">
        <v>201004870</v>
      </c>
      <c r="E31">
        <v>1.3360000000000001</v>
      </c>
    </row>
    <row r="32" spans="4:5">
      <c r="D32">
        <v>201005354</v>
      </c>
      <c r="E32">
        <v>1.2410000000000001</v>
      </c>
    </row>
    <row r="33" spans="4:5">
      <c r="D33">
        <v>201005382</v>
      </c>
      <c r="E33">
        <v>1.3560000000000001</v>
      </c>
    </row>
    <row r="34" spans="4:5">
      <c r="D34">
        <v>201005749</v>
      </c>
      <c r="E34">
        <v>1.282</v>
      </c>
    </row>
    <row r="35" spans="4:5">
      <c r="D35">
        <v>201006293</v>
      </c>
      <c r="E35">
        <v>1.276</v>
      </c>
    </row>
    <row r="36" spans="4:5">
      <c r="D36">
        <v>201006958</v>
      </c>
      <c r="E36">
        <v>0.61799999999999999</v>
      </c>
    </row>
    <row r="37" spans="4:5">
      <c r="D37">
        <v>201007106</v>
      </c>
      <c r="E37">
        <v>1.476</v>
      </c>
    </row>
    <row r="38" spans="4:5">
      <c r="D38">
        <v>201007173</v>
      </c>
      <c r="E38">
        <v>1.411</v>
      </c>
    </row>
    <row r="39" spans="4:5">
      <c r="D39">
        <v>201008212</v>
      </c>
      <c r="E39">
        <v>1.6020000000000001</v>
      </c>
    </row>
    <row r="40" spans="4:5">
      <c r="D40">
        <v>201008656</v>
      </c>
      <c r="E40">
        <v>0.90400000000000003</v>
      </c>
    </row>
    <row r="41" spans="4:5">
      <c r="D41">
        <v>201009642</v>
      </c>
      <c r="E41">
        <v>1.3049999999999999</v>
      </c>
    </row>
    <row r="42" spans="4:5">
      <c r="D42">
        <v>201010608</v>
      </c>
      <c r="E42">
        <v>1.8069999999999999</v>
      </c>
    </row>
    <row r="43" spans="4:5">
      <c r="D43">
        <v>201010672</v>
      </c>
      <c r="E43">
        <v>1.647</v>
      </c>
    </row>
    <row r="44" spans="4:5">
      <c r="D44">
        <v>201012184</v>
      </c>
      <c r="E44">
        <v>1.169</v>
      </c>
    </row>
    <row r="45" spans="4:5">
      <c r="D45">
        <v>201013934</v>
      </c>
      <c r="E45">
        <v>1.1279999999999999</v>
      </c>
    </row>
    <row r="46" spans="4:5">
      <c r="D46">
        <v>201014216</v>
      </c>
      <c r="E46">
        <v>1.724</v>
      </c>
    </row>
    <row r="47" spans="4:5">
      <c r="D47">
        <v>201014512</v>
      </c>
      <c r="E47">
        <v>1.153</v>
      </c>
    </row>
    <row r="48" spans="4:5">
      <c r="D48">
        <v>201015558</v>
      </c>
      <c r="E48">
        <v>0.622</v>
      </c>
    </row>
    <row r="49" spans="4:5">
      <c r="D49">
        <v>201015902</v>
      </c>
      <c r="E49">
        <v>1.069</v>
      </c>
    </row>
    <row r="50" spans="4:5">
      <c r="D50">
        <v>201017698</v>
      </c>
      <c r="E50">
        <v>1.9470000000000001</v>
      </c>
    </row>
    <row r="51" spans="4:5">
      <c r="D51">
        <v>201100043</v>
      </c>
      <c r="E51">
        <v>1.88</v>
      </c>
    </row>
    <row r="52" spans="4:5">
      <c r="D52">
        <v>201100132</v>
      </c>
      <c r="E52">
        <v>1.726</v>
      </c>
    </row>
    <row r="53" spans="4:5">
      <c r="D53">
        <v>201100342</v>
      </c>
      <c r="E53">
        <v>2.6970000000000001</v>
      </c>
    </row>
    <row r="54" spans="4:5">
      <c r="D54">
        <v>201100861</v>
      </c>
      <c r="E54">
        <v>1.0680000000000001</v>
      </c>
    </row>
    <row r="55" spans="4:5">
      <c r="D55">
        <v>201101030</v>
      </c>
      <c r="E55">
        <v>1.4</v>
      </c>
    </row>
    <row r="56" spans="4:5">
      <c r="D56">
        <v>201101885</v>
      </c>
      <c r="E56">
        <v>1.5</v>
      </c>
    </row>
    <row r="57" spans="4:5">
      <c r="D57">
        <v>201102107</v>
      </c>
      <c r="E57">
        <v>1.095</v>
      </c>
    </row>
    <row r="58" spans="4:5">
      <c r="D58">
        <v>201103345</v>
      </c>
      <c r="E58">
        <v>0.67300000000000004</v>
      </c>
    </row>
    <row r="59" spans="4:5">
      <c r="D59">
        <v>201103358</v>
      </c>
      <c r="E59">
        <v>0.40500000000000003</v>
      </c>
    </row>
    <row r="60" spans="4:5">
      <c r="D60">
        <v>201103556</v>
      </c>
      <c r="E60">
        <v>2.7480000000000002</v>
      </c>
    </row>
    <row r="61" spans="4:5">
      <c r="D61">
        <v>201103844</v>
      </c>
      <c r="E61">
        <v>2.649</v>
      </c>
    </row>
    <row r="62" spans="4:5">
      <c r="D62">
        <v>201104467</v>
      </c>
      <c r="E62">
        <v>2.355</v>
      </c>
    </row>
    <row r="63" spans="4:5">
      <c r="D63">
        <v>201104598</v>
      </c>
      <c r="E63">
        <v>1.635</v>
      </c>
    </row>
    <row r="64" spans="4:5">
      <c r="D64">
        <v>201105493</v>
      </c>
      <c r="E64">
        <v>1.5669999999999999</v>
      </c>
    </row>
    <row r="65" spans="4:5">
      <c r="D65">
        <v>201108653</v>
      </c>
      <c r="E65">
        <v>2.125</v>
      </c>
    </row>
    <row r="66" spans="4:5">
      <c r="D66">
        <v>201108713</v>
      </c>
      <c r="E66">
        <v>1.994</v>
      </c>
    </row>
    <row r="67" spans="4:5">
      <c r="D67">
        <v>201108987</v>
      </c>
      <c r="E67">
        <v>1.3360000000000001</v>
      </c>
    </row>
    <row r="68" spans="4:5">
      <c r="D68">
        <v>201109679</v>
      </c>
      <c r="E68">
        <v>1.927</v>
      </c>
    </row>
    <row r="69" spans="4:5">
      <c r="D69">
        <v>201110329</v>
      </c>
      <c r="E69">
        <v>2.7989999999999999</v>
      </c>
    </row>
    <row r="70" spans="4:5">
      <c r="D70">
        <v>201110349</v>
      </c>
      <c r="E70">
        <v>0.90400000000000003</v>
      </c>
    </row>
    <row r="71" spans="4:5">
      <c r="D71">
        <v>201110383</v>
      </c>
      <c r="E71">
        <v>1.9670000000000001</v>
      </c>
    </row>
    <row r="72" spans="4:5">
      <c r="D72">
        <v>201111486</v>
      </c>
      <c r="E72">
        <v>2.782</v>
      </c>
    </row>
    <row r="73" spans="4:5">
      <c r="D73">
        <v>201112560</v>
      </c>
      <c r="E73">
        <v>1.3939999999999999</v>
      </c>
    </row>
    <row r="74" spans="4:5">
      <c r="D74">
        <v>201112639</v>
      </c>
      <c r="E74">
        <v>1.843</v>
      </c>
    </row>
    <row r="75" spans="4:5">
      <c r="D75">
        <v>201112996</v>
      </c>
      <c r="E75">
        <v>3.5089999999999999</v>
      </c>
    </row>
    <row r="76" spans="4:5">
      <c r="D76">
        <v>201112998</v>
      </c>
      <c r="E76">
        <v>3.1789999999999998</v>
      </c>
    </row>
    <row r="77" spans="4:5">
      <c r="D77">
        <v>201113009</v>
      </c>
      <c r="E77">
        <v>2.0619999999999998</v>
      </c>
    </row>
    <row r="78" spans="4:5">
      <c r="D78">
        <v>201113088</v>
      </c>
      <c r="E78">
        <v>2.7050000000000001</v>
      </c>
    </row>
    <row r="79" spans="4:5">
      <c r="D79">
        <v>201113094</v>
      </c>
      <c r="E79">
        <v>3.0409999999999999</v>
      </c>
    </row>
    <row r="80" spans="4:5">
      <c r="D80">
        <v>201113238</v>
      </c>
      <c r="E80">
        <v>1.5860000000000001</v>
      </c>
    </row>
    <row r="81" spans="4:5">
      <c r="D81">
        <v>201200679</v>
      </c>
      <c r="E81">
        <v>3.0630000000000002</v>
      </c>
    </row>
    <row r="82" spans="4:5">
      <c r="D82">
        <v>201200689</v>
      </c>
      <c r="E82">
        <v>2.762</v>
      </c>
    </row>
    <row r="83" spans="4:5">
      <c r="D83">
        <v>201201250</v>
      </c>
      <c r="E83">
        <v>3.8410000000000002</v>
      </c>
    </row>
    <row r="84" spans="4:5">
      <c r="D84">
        <v>201201731</v>
      </c>
      <c r="E84">
        <v>2.548</v>
      </c>
    </row>
    <row r="85" spans="4:5">
      <c r="D85">
        <v>201201838</v>
      </c>
      <c r="E85">
        <v>2.7269999999999999</v>
      </c>
    </row>
    <row r="86" spans="4:5">
      <c r="D86">
        <v>201201855</v>
      </c>
      <c r="E86">
        <v>2.915</v>
      </c>
    </row>
    <row r="87" spans="4:5">
      <c r="D87">
        <v>201202197</v>
      </c>
      <c r="E87">
        <v>3.7810000000000001</v>
      </c>
    </row>
    <row r="88" spans="4:5">
      <c r="D88">
        <v>201202472</v>
      </c>
      <c r="E88">
        <v>2.5710000000000002</v>
      </c>
    </row>
    <row r="89" spans="4:5">
      <c r="D89">
        <v>201202499</v>
      </c>
      <c r="E89">
        <v>0.86399999999999999</v>
      </c>
    </row>
    <row r="90" spans="4:5">
      <c r="D90">
        <v>201202943</v>
      </c>
      <c r="E90">
        <v>3.33</v>
      </c>
    </row>
    <row r="91" spans="4:5">
      <c r="D91">
        <v>201203147</v>
      </c>
      <c r="E91">
        <v>3.04</v>
      </c>
    </row>
    <row r="92" spans="4:5">
      <c r="D92">
        <v>201204018</v>
      </c>
      <c r="E92">
        <v>2.5219999999999998</v>
      </c>
    </row>
    <row r="93" spans="4:5">
      <c r="D93">
        <v>201204084</v>
      </c>
      <c r="E93">
        <v>2.3279999999999998</v>
      </c>
    </row>
    <row r="94" spans="4:5">
      <c r="D94">
        <v>201204154</v>
      </c>
      <c r="E94">
        <v>3.7189999999999999</v>
      </c>
    </row>
    <row r="95" spans="4:5">
      <c r="D95">
        <v>201204657</v>
      </c>
      <c r="E95">
        <v>2.157</v>
      </c>
    </row>
    <row r="96" spans="4:5">
      <c r="D96">
        <v>201204760</v>
      </c>
      <c r="E96">
        <v>2.2890000000000001</v>
      </c>
    </row>
    <row r="97" spans="4:5">
      <c r="D97">
        <v>201205185</v>
      </c>
      <c r="E97">
        <v>2.7149999999999999</v>
      </c>
    </row>
    <row r="98" spans="4:5">
      <c r="D98">
        <v>201205247</v>
      </c>
      <c r="E98">
        <v>2.4710000000000001</v>
      </c>
    </row>
    <row r="99" spans="4:5">
      <c r="D99">
        <v>201206299</v>
      </c>
      <c r="E99">
        <v>2.1040000000000001</v>
      </c>
    </row>
    <row r="100" spans="4:5">
      <c r="D100">
        <v>201206403</v>
      </c>
      <c r="E100">
        <v>2.7770000000000001</v>
      </c>
    </row>
    <row r="101" spans="4:5">
      <c r="D101">
        <v>201206477</v>
      </c>
      <c r="E101">
        <v>2.5289999999999999</v>
      </c>
    </row>
    <row r="102" spans="4:5">
      <c r="D102">
        <v>201206588</v>
      </c>
      <c r="E102">
        <v>2.0990000000000002</v>
      </c>
    </row>
    <row r="103" spans="4:5">
      <c r="D103">
        <v>201206764</v>
      </c>
      <c r="E103">
        <v>2.4740000000000002</v>
      </c>
    </row>
    <row r="104" spans="4:5">
      <c r="D104">
        <v>201206915</v>
      </c>
      <c r="E104">
        <v>2.2970000000000002</v>
      </c>
    </row>
    <row r="105" spans="4:5">
      <c r="D105">
        <v>201207194</v>
      </c>
      <c r="E105">
        <v>3.1749999999999998</v>
      </c>
    </row>
    <row r="106" spans="4:5">
      <c r="D106">
        <v>201207538</v>
      </c>
      <c r="E106">
        <v>2.9340000000000002</v>
      </c>
    </row>
    <row r="107" spans="4:5">
      <c r="D107">
        <v>201207894</v>
      </c>
      <c r="E107">
        <v>2.8319999999999999</v>
      </c>
    </row>
    <row r="108" spans="4:5">
      <c r="D108">
        <v>201208709</v>
      </c>
      <c r="E108">
        <v>2.2709999999999999</v>
      </c>
    </row>
    <row r="109" spans="4:5">
      <c r="D109">
        <v>201210056</v>
      </c>
      <c r="E109">
        <v>2.3740000000000001</v>
      </c>
    </row>
    <row r="110" spans="4:5">
      <c r="D110">
        <v>201210215</v>
      </c>
      <c r="E110">
        <v>2.8820000000000001</v>
      </c>
    </row>
    <row r="111" spans="4:5">
      <c r="D111">
        <v>201210423</v>
      </c>
      <c r="E111">
        <v>3.512</v>
      </c>
    </row>
    <row r="112" spans="4:5">
      <c r="D112">
        <v>201210960</v>
      </c>
      <c r="E112">
        <v>2.33</v>
      </c>
    </row>
    <row r="113" spans="4:5">
      <c r="D113">
        <v>201212531</v>
      </c>
      <c r="E113">
        <v>2.698</v>
      </c>
    </row>
    <row r="114" spans="4:5">
      <c r="D114">
        <v>201212806</v>
      </c>
      <c r="E114">
        <v>2.742</v>
      </c>
    </row>
    <row r="115" spans="4:5">
      <c r="D115">
        <v>201213054</v>
      </c>
      <c r="E115">
        <v>2.5019999999999998</v>
      </c>
    </row>
    <row r="116" spans="4:5">
      <c r="D116">
        <v>201213813</v>
      </c>
      <c r="E116">
        <v>2.9540000000000002</v>
      </c>
    </row>
    <row r="117" spans="4:5">
      <c r="D117">
        <v>201213814</v>
      </c>
      <c r="E117">
        <v>2.2589999999999999</v>
      </c>
    </row>
    <row r="118" spans="4:5">
      <c r="D118">
        <v>201213822</v>
      </c>
      <c r="E118">
        <v>2.6829999999999998</v>
      </c>
    </row>
    <row r="119" spans="4:5">
      <c r="D119">
        <v>201214023</v>
      </c>
      <c r="E119">
        <v>1.843</v>
      </c>
    </row>
    <row r="120" spans="4:5">
      <c r="D120">
        <v>201214389</v>
      </c>
      <c r="E120">
        <v>2.2549999999999999</v>
      </c>
    </row>
    <row r="121" spans="4:5">
      <c r="D121">
        <v>201214561</v>
      </c>
      <c r="E121">
        <v>2.585</v>
      </c>
    </row>
    <row r="122" spans="4:5">
      <c r="D122">
        <v>201215491</v>
      </c>
      <c r="E122">
        <v>2.86</v>
      </c>
    </row>
    <row r="123" spans="4:5">
      <c r="D123">
        <v>201215501</v>
      </c>
      <c r="E123">
        <v>3.7210000000000001</v>
      </c>
    </row>
    <row r="124" spans="4:5">
      <c r="D124">
        <v>201215576</v>
      </c>
      <c r="E124">
        <v>2.8159999999999998</v>
      </c>
    </row>
    <row r="125" spans="4:5">
      <c r="D125">
        <v>201215579</v>
      </c>
      <c r="E125">
        <v>3.65</v>
      </c>
    </row>
    <row r="126" spans="4:5">
      <c r="D126">
        <v>201215587</v>
      </c>
      <c r="E126">
        <v>3.54</v>
      </c>
    </row>
    <row r="127" spans="4:5">
      <c r="D127">
        <v>201215589</v>
      </c>
      <c r="E127">
        <v>1.9730000000000001</v>
      </c>
    </row>
    <row r="128" spans="4:5">
      <c r="D128">
        <v>201215596</v>
      </c>
      <c r="E128">
        <v>3.2320000000000002</v>
      </c>
    </row>
    <row r="129" spans="4:5">
      <c r="D129">
        <v>201215604</v>
      </c>
      <c r="E129">
        <v>1.5169999999999999</v>
      </c>
    </row>
    <row r="130" spans="4:5">
      <c r="D130">
        <v>201215615</v>
      </c>
      <c r="E130">
        <v>3.5790000000000002</v>
      </c>
    </row>
    <row r="131" spans="4:5">
      <c r="D131">
        <v>201215618</v>
      </c>
      <c r="E131">
        <v>3.8780000000000001</v>
      </c>
    </row>
    <row r="132" spans="4:5">
      <c r="D132">
        <v>201215646</v>
      </c>
      <c r="E132">
        <v>1.885</v>
      </c>
    </row>
    <row r="133" spans="4:5">
      <c r="D133">
        <v>201215672</v>
      </c>
      <c r="E133">
        <v>3.4220000000000002</v>
      </c>
    </row>
    <row r="134" spans="4:5">
      <c r="D134">
        <v>201215723</v>
      </c>
      <c r="E134">
        <v>3.569</v>
      </c>
    </row>
    <row r="135" spans="4:5">
      <c r="D135">
        <v>201215724</v>
      </c>
      <c r="E135">
        <v>1.554</v>
      </c>
    </row>
    <row r="136" spans="4:5">
      <c r="D136">
        <v>201215727</v>
      </c>
      <c r="E136">
        <v>3.1629999999999998</v>
      </c>
    </row>
    <row r="137" spans="4:5">
      <c r="D137">
        <v>201215742</v>
      </c>
      <c r="E137">
        <v>1.853</v>
      </c>
    </row>
    <row r="138" spans="4:5">
      <c r="D138">
        <v>201215760</v>
      </c>
      <c r="E138">
        <v>1.556</v>
      </c>
    </row>
    <row r="139" spans="4:5">
      <c r="D139">
        <v>201215761</v>
      </c>
      <c r="E139">
        <v>1.786</v>
      </c>
    </row>
    <row r="140" spans="4:5">
      <c r="D140">
        <v>201215768</v>
      </c>
      <c r="E140">
        <v>2.8319999999999999</v>
      </c>
    </row>
    <row r="141" spans="4:5">
      <c r="D141">
        <v>201215815</v>
      </c>
      <c r="E141">
        <v>3.42</v>
      </c>
    </row>
    <row r="142" spans="4:5">
      <c r="D142">
        <v>201215817</v>
      </c>
      <c r="E142">
        <v>3.3220000000000001</v>
      </c>
    </row>
    <row r="143" spans="4:5">
      <c r="D143">
        <v>201215824</v>
      </c>
      <c r="E143">
        <v>3.4249999999999998</v>
      </c>
    </row>
    <row r="144" spans="4:5">
      <c r="D144">
        <v>201215833</v>
      </c>
      <c r="E144">
        <v>2.7</v>
      </c>
    </row>
    <row r="145" spans="4:5">
      <c r="D145">
        <v>201300322</v>
      </c>
      <c r="E145">
        <v>1.76</v>
      </c>
    </row>
    <row r="146" spans="4:5">
      <c r="D146">
        <v>201300456</v>
      </c>
      <c r="E146">
        <v>1.716</v>
      </c>
    </row>
    <row r="147" spans="4:5">
      <c r="D147">
        <v>201300755</v>
      </c>
      <c r="E147">
        <v>1.512</v>
      </c>
    </row>
    <row r="148" spans="4:5">
      <c r="D148">
        <v>201301712</v>
      </c>
      <c r="E148">
        <v>3.2650000000000001</v>
      </c>
    </row>
    <row r="149" spans="4:5">
      <c r="D149">
        <v>201301810</v>
      </c>
      <c r="E149">
        <v>2.1070000000000002</v>
      </c>
    </row>
    <row r="150" spans="4:5">
      <c r="D150">
        <v>201301939</v>
      </c>
      <c r="E150">
        <v>2.1509999999999998</v>
      </c>
    </row>
    <row r="151" spans="4:5">
      <c r="D151">
        <v>201303331</v>
      </c>
      <c r="E151">
        <v>2.093</v>
      </c>
    </row>
    <row r="152" spans="4:5">
      <c r="D152">
        <v>201303454</v>
      </c>
      <c r="E152">
        <v>2.661</v>
      </c>
    </row>
    <row r="153" spans="4:5">
      <c r="D153">
        <v>201304447</v>
      </c>
      <c r="E153">
        <v>2.6469999999999998</v>
      </c>
    </row>
    <row r="154" spans="4:5">
      <c r="D154">
        <v>201305202</v>
      </c>
      <c r="E154">
        <v>2.2330000000000001</v>
      </c>
    </row>
    <row r="155" spans="4:5">
      <c r="D155">
        <v>201305960</v>
      </c>
      <c r="E155">
        <v>2.246</v>
      </c>
    </row>
    <row r="156" spans="4:5">
      <c r="D156">
        <v>201306382</v>
      </c>
      <c r="E156">
        <v>3.5209999999999999</v>
      </c>
    </row>
    <row r="157" spans="4:5">
      <c r="D157">
        <v>201306383</v>
      </c>
      <c r="E157">
        <v>2.5419999999999998</v>
      </c>
    </row>
    <row r="158" spans="4:5">
      <c r="D158">
        <v>201307250</v>
      </c>
      <c r="E158">
        <v>1.681</v>
      </c>
    </row>
    <row r="159" spans="4:5">
      <c r="D159">
        <v>201307479</v>
      </c>
      <c r="E159">
        <v>2.9249999999999998</v>
      </c>
    </row>
    <row r="160" spans="4:5">
      <c r="D160">
        <v>201307659</v>
      </c>
      <c r="E160">
        <v>1.387</v>
      </c>
    </row>
    <row r="161" spans="4:5">
      <c r="D161">
        <v>201308437</v>
      </c>
      <c r="E161">
        <v>1.833</v>
      </c>
    </row>
    <row r="162" spans="4:5">
      <c r="D162">
        <v>201308929</v>
      </c>
      <c r="E162">
        <v>2.6419999999999999</v>
      </c>
    </row>
    <row r="163" spans="4:5">
      <c r="D163">
        <v>201308930</v>
      </c>
      <c r="E163">
        <v>2.294</v>
      </c>
    </row>
    <row r="164" spans="4:5">
      <c r="D164">
        <v>201309014</v>
      </c>
      <c r="E164">
        <v>2.3029999999999999</v>
      </c>
    </row>
    <row r="165" spans="4:5">
      <c r="D165">
        <v>201309897</v>
      </c>
      <c r="E165">
        <v>2.1480000000000001</v>
      </c>
    </row>
    <row r="166" spans="4:5">
      <c r="D166">
        <v>201310294</v>
      </c>
      <c r="E166">
        <v>2.0030000000000001</v>
      </c>
    </row>
    <row r="167" spans="4:5">
      <c r="D167">
        <v>201310916</v>
      </c>
      <c r="E167">
        <v>1.762</v>
      </c>
    </row>
    <row r="168" spans="4:5">
      <c r="D168">
        <v>201311320</v>
      </c>
      <c r="E168">
        <v>2.2120000000000002</v>
      </c>
    </row>
    <row r="169" spans="4:5">
      <c r="D169">
        <v>201311417</v>
      </c>
      <c r="E169">
        <v>2.3490000000000002</v>
      </c>
    </row>
    <row r="170" spans="4:5">
      <c r="D170">
        <v>201311673</v>
      </c>
      <c r="E170">
        <v>1.9490000000000001</v>
      </c>
    </row>
    <row r="171" spans="4:5">
      <c r="D171">
        <v>201311701</v>
      </c>
      <c r="E171">
        <v>2.5739999999999998</v>
      </c>
    </row>
    <row r="172" spans="4:5">
      <c r="D172">
        <v>201312135</v>
      </c>
      <c r="E172">
        <v>2.831</v>
      </c>
    </row>
    <row r="173" spans="4:5">
      <c r="D173">
        <v>201312552</v>
      </c>
      <c r="E173">
        <v>3.1680000000000001</v>
      </c>
    </row>
    <row r="174" spans="4:5">
      <c r="D174">
        <v>201312841</v>
      </c>
      <c r="E174">
        <v>1.8879999999999999</v>
      </c>
    </row>
    <row r="175" spans="4:5">
      <c r="D175">
        <v>201312901</v>
      </c>
      <c r="E175">
        <v>2.2429999999999999</v>
      </c>
    </row>
    <row r="176" spans="4:5">
      <c r="D176">
        <v>201313833</v>
      </c>
      <c r="E176">
        <v>2.6680000000000001</v>
      </c>
    </row>
    <row r="177" spans="4:5">
      <c r="D177">
        <v>201314236</v>
      </c>
      <c r="E177">
        <v>1.6359999999999999</v>
      </c>
    </row>
    <row r="178" spans="4:5">
      <c r="D178">
        <v>201314263</v>
      </c>
      <c r="E178">
        <v>1.8129999999999999</v>
      </c>
    </row>
    <row r="179" spans="4:5">
      <c r="D179">
        <v>201314376</v>
      </c>
      <c r="E179">
        <v>2.6760000000000002</v>
      </c>
    </row>
    <row r="180" spans="4:5">
      <c r="D180">
        <v>201315136</v>
      </c>
      <c r="E180">
        <v>2.4460000000000002</v>
      </c>
    </row>
    <row r="181" spans="4:5">
      <c r="D181">
        <v>201315671</v>
      </c>
      <c r="E181">
        <v>2.7120000000000002</v>
      </c>
    </row>
    <row r="182" spans="4:5">
      <c r="D182">
        <v>201315702</v>
      </c>
      <c r="E182">
        <v>2.6469999999999998</v>
      </c>
    </row>
    <row r="183" spans="4:5">
      <c r="D183">
        <v>201315775</v>
      </c>
      <c r="E183">
        <v>3.1949999999999998</v>
      </c>
    </row>
    <row r="184" spans="4:5">
      <c r="D184">
        <v>201315833</v>
      </c>
      <c r="E184">
        <v>2.6520000000000001</v>
      </c>
    </row>
    <row r="185" spans="4:5">
      <c r="D185">
        <v>201316327</v>
      </c>
      <c r="E185">
        <v>3.5070000000000001</v>
      </c>
    </row>
    <row r="186" spans="4:5">
      <c r="D186">
        <v>201316347</v>
      </c>
      <c r="E186">
        <v>2.5379999999999998</v>
      </c>
    </row>
    <row r="187" spans="4:5">
      <c r="D187">
        <v>201316351</v>
      </c>
      <c r="E187">
        <v>3.5609999999999999</v>
      </c>
    </row>
    <row r="188" spans="4:5">
      <c r="D188">
        <v>201316361</v>
      </c>
      <c r="E188">
        <v>3.1880000000000002</v>
      </c>
    </row>
    <row r="189" spans="4:5">
      <c r="D189">
        <v>201316364</v>
      </c>
      <c r="E189">
        <v>3.7730000000000001</v>
      </c>
    </row>
    <row r="190" spans="4:5">
      <c r="D190">
        <v>201316373</v>
      </c>
      <c r="E190">
        <v>3.13</v>
      </c>
    </row>
    <row r="191" spans="4:5">
      <c r="D191">
        <v>201316390</v>
      </c>
      <c r="E191">
        <v>3.1840000000000002</v>
      </c>
    </row>
    <row r="192" spans="4:5">
      <c r="D192">
        <v>201316393</v>
      </c>
      <c r="E192">
        <v>2.4279999999999999</v>
      </c>
    </row>
    <row r="193" spans="4:5">
      <c r="D193">
        <v>201316396</v>
      </c>
      <c r="E193">
        <v>3.3559999999999999</v>
      </c>
    </row>
    <row r="194" spans="4:5">
      <c r="D194">
        <v>201316413</v>
      </c>
      <c r="E194">
        <v>1.591</v>
      </c>
    </row>
    <row r="195" spans="4:5">
      <c r="D195">
        <v>201316414</v>
      </c>
      <c r="E195">
        <v>3.621</v>
      </c>
    </row>
    <row r="196" spans="4:5">
      <c r="D196">
        <v>201316426</v>
      </c>
      <c r="E196">
        <v>1.712</v>
      </c>
    </row>
    <row r="197" spans="4:5">
      <c r="D197">
        <v>201316427</v>
      </c>
      <c r="E197">
        <v>1.6559999999999999</v>
      </c>
    </row>
    <row r="198" spans="4:5">
      <c r="D198">
        <v>201316465</v>
      </c>
      <c r="E198">
        <v>3.4670000000000001</v>
      </c>
    </row>
    <row r="199" spans="4:5">
      <c r="D199">
        <v>201316467</v>
      </c>
      <c r="E199">
        <v>2.5</v>
      </c>
    </row>
    <row r="200" spans="4:5">
      <c r="D200">
        <v>201316553</v>
      </c>
      <c r="E200">
        <v>3.2930000000000001</v>
      </c>
    </row>
    <row r="201" spans="4:5">
      <c r="D201">
        <v>201400731</v>
      </c>
      <c r="E201">
        <v>3.25</v>
      </c>
    </row>
    <row r="202" spans="4:5">
      <c r="D202">
        <v>201402062</v>
      </c>
      <c r="E202">
        <v>2.3260000000000001</v>
      </c>
    </row>
    <row r="203" spans="4:5">
      <c r="D203">
        <v>201403377</v>
      </c>
      <c r="E203">
        <v>2.4529999999999998</v>
      </c>
    </row>
    <row r="204" spans="4:5">
      <c r="D204">
        <v>201404833</v>
      </c>
      <c r="E204">
        <v>3.649</v>
      </c>
    </row>
    <row r="205" spans="4:5">
      <c r="D205">
        <v>201405095</v>
      </c>
      <c r="E205">
        <v>3</v>
      </c>
    </row>
    <row r="206" spans="4:5">
      <c r="D206">
        <v>201405487</v>
      </c>
      <c r="E206">
        <v>2.1960000000000002</v>
      </c>
    </row>
    <row r="207" spans="4:5">
      <c r="D207">
        <v>201406193</v>
      </c>
      <c r="E207">
        <v>2.6190000000000002</v>
      </c>
    </row>
    <row r="208" spans="4:5">
      <c r="D208">
        <v>201406678</v>
      </c>
      <c r="E208">
        <v>2.0979999999999999</v>
      </c>
    </row>
    <row r="209" spans="4:5">
      <c r="D209">
        <v>201406704</v>
      </c>
      <c r="E209">
        <v>2.2789999999999999</v>
      </c>
    </row>
    <row r="210" spans="4:5">
      <c r="D210">
        <v>201406870</v>
      </c>
      <c r="E210">
        <v>2.7029999999999998</v>
      </c>
    </row>
    <row r="211" spans="4:5">
      <c r="D211">
        <v>201407038</v>
      </c>
      <c r="E211">
        <v>2.8479999999999999</v>
      </c>
    </row>
    <row r="212" spans="4:5">
      <c r="D212">
        <v>201407566</v>
      </c>
      <c r="E212">
        <v>2.4660000000000002</v>
      </c>
    </row>
    <row r="213" spans="4:5">
      <c r="D213">
        <v>201408010</v>
      </c>
      <c r="E213">
        <v>3.0609999999999999</v>
      </c>
    </row>
    <row r="214" spans="4:5">
      <c r="D214">
        <v>201409000</v>
      </c>
      <c r="E214">
        <v>2.274</v>
      </c>
    </row>
    <row r="215" spans="4:5">
      <c r="D215">
        <v>201409092</v>
      </c>
      <c r="E215">
        <v>3.2360000000000002</v>
      </c>
    </row>
    <row r="216" spans="4:5">
      <c r="D216">
        <v>201409449</v>
      </c>
      <c r="E216">
        <v>2.8570000000000002</v>
      </c>
    </row>
    <row r="217" spans="4:5">
      <c r="D217">
        <v>201409771</v>
      </c>
      <c r="E217">
        <v>2.65</v>
      </c>
    </row>
    <row r="218" spans="4:5">
      <c r="D218">
        <v>201409841</v>
      </c>
      <c r="E218">
        <v>2.6139999999999999</v>
      </c>
    </row>
    <row r="219" spans="4:5">
      <c r="D219">
        <v>201410684</v>
      </c>
      <c r="E219">
        <v>3.5</v>
      </c>
    </row>
    <row r="220" spans="4:5">
      <c r="D220">
        <v>201411143</v>
      </c>
      <c r="E220">
        <v>2.073</v>
      </c>
    </row>
    <row r="221" spans="4:5">
      <c r="D221">
        <v>201411315</v>
      </c>
      <c r="E221">
        <v>1.214</v>
      </c>
    </row>
    <row r="222" spans="4:5">
      <c r="D222">
        <v>201411630</v>
      </c>
      <c r="E222">
        <v>2.8820000000000001</v>
      </c>
    </row>
    <row r="223" spans="4:5">
      <c r="D223">
        <v>201411863</v>
      </c>
      <c r="E223">
        <v>2.1469999999999998</v>
      </c>
    </row>
    <row r="224" spans="4:5">
      <c r="D224">
        <v>201412206</v>
      </c>
      <c r="E224">
        <v>3.1040000000000001</v>
      </c>
    </row>
    <row r="225" spans="4:5">
      <c r="D225">
        <v>201412754</v>
      </c>
      <c r="E225">
        <v>1</v>
      </c>
    </row>
    <row r="226" spans="4:5">
      <c r="D226">
        <v>201412916</v>
      </c>
      <c r="E226">
        <v>2.5190000000000001</v>
      </c>
    </row>
    <row r="227" spans="4:5">
      <c r="D227">
        <v>201413184</v>
      </c>
      <c r="E227">
        <v>3.52</v>
      </c>
    </row>
    <row r="228" spans="4:5">
      <c r="D228">
        <v>201413281</v>
      </c>
      <c r="E228">
        <v>1.9770000000000001</v>
      </c>
    </row>
    <row r="229" spans="4:5">
      <c r="D229">
        <v>201413410</v>
      </c>
      <c r="E229">
        <v>2.8180000000000001</v>
      </c>
    </row>
    <row r="230" spans="4:5">
      <c r="D230">
        <v>201413427</v>
      </c>
      <c r="E230">
        <v>2.8580000000000001</v>
      </c>
    </row>
    <row r="231" spans="4:5">
      <c r="D231">
        <v>201414410</v>
      </c>
      <c r="E231">
        <v>2.472</v>
      </c>
    </row>
    <row r="232" spans="4:5">
      <c r="D232">
        <v>201414421</v>
      </c>
      <c r="E232">
        <v>2.403</v>
      </c>
    </row>
    <row r="233" spans="4:5">
      <c r="D233">
        <v>201414431</v>
      </c>
      <c r="E233">
        <v>3.8889999999999998</v>
      </c>
    </row>
    <row r="234" spans="4:5">
      <c r="D234">
        <v>201414439</v>
      </c>
      <c r="E234">
        <v>2.8610000000000002</v>
      </c>
    </row>
    <row r="235" spans="4:5">
      <c r="D235">
        <v>201414446</v>
      </c>
      <c r="E235">
        <v>1.929</v>
      </c>
    </row>
    <row r="236" spans="4:5">
      <c r="D236">
        <v>201414448</v>
      </c>
      <c r="E236">
        <v>3.528</v>
      </c>
    </row>
    <row r="237" spans="4:5">
      <c r="D237">
        <v>201414455</v>
      </c>
      <c r="E237">
        <v>3.4</v>
      </c>
    </row>
    <row r="238" spans="4:5">
      <c r="D238">
        <v>201414459</v>
      </c>
      <c r="E238">
        <v>2.0830000000000002</v>
      </c>
    </row>
    <row r="239" spans="4:5">
      <c r="D239">
        <v>201414469</v>
      </c>
      <c r="E239">
        <v>3.528</v>
      </c>
    </row>
    <row r="240" spans="4:5">
      <c r="D240">
        <v>201414475</v>
      </c>
      <c r="E240">
        <v>3.694</v>
      </c>
    </row>
    <row r="241" spans="4:5">
      <c r="D241">
        <v>201414476</v>
      </c>
      <c r="E241">
        <v>3.194</v>
      </c>
    </row>
    <row r="242" spans="4:5">
      <c r="D242">
        <v>201414500</v>
      </c>
      <c r="E242">
        <v>2.694</v>
      </c>
    </row>
    <row r="243" spans="4:5">
      <c r="D243">
        <v>201414538</v>
      </c>
      <c r="E243">
        <v>3.681</v>
      </c>
    </row>
    <row r="244" spans="4:5">
      <c r="D244">
        <v>201514193</v>
      </c>
      <c r="E244">
        <v>3.6040000000000001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CountIfDropDownM</vt:lpstr>
      <vt:lpstr>VLOOKUP</vt:lpstr>
      <vt:lpstr>LRFD-VLOOKUP</vt:lpstr>
      <vt:lpstr>DateTimeOthers</vt:lpstr>
      <vt:lpstr>Sort</vt:lpstr>
    </vt:vector>
  </TitlesOfParts>
  <Company>Clemson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2018-11-13T11:50:45Z</cp:lastPrinted>
  <dcterms:created xsi:type="dcterms:W3CDTF">2018-11-10T14:25:06Z</dcterms:created>
  <dcterms:modified xsi:type="dcterms:W3CDTF">2018-11-20T18:01:50Z</dcterms:modified>
</cp:coreProperties>
</file>